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BOARD\Board of Directors\2025-BOD Reports\November 2025\"/>
    </mc:Choice>
  </mc:AlternateContent>
  <xr:revisionPtr revIDLastSave="0" documentId="13_ncr:1_{89796E53-5AEE-476D-9D93-82BCEEB281CD}" xr6:coauthVersionLast="47" xr6:coauthVersionMax="47" xr10:uidLastSave="{00000000-0000-0000-0000-000000000000}"/>
  <bookViews>
    <workbookView xWindow="28680" yWindow="-165" windowWidth="29040" windowHeight="15720" tabRatio="742" firstSheet="6" activeTab="6" xr2:uid="{7C63E638-0CDB-4256-A5A8-D430CC5A3B5F}"/>
  </bookViews>
  <sheets>
    <sheet name="June 2024 YTD" sheetId="1" state="hidden" r:id="rId1"/>
    <sheet name="June 2025 YTD" sheetId="13" state="hidden" r:id="rId2"/>
    <sheet name="4% and Health Insur Decreases" sheetId="11" state="hidden" r:id="rId3"/>
    <sheet name="2026 12-month Proj." sheetId="2" state="hidden" r:id="rId4"/>
    <sheet name="2026 Area Agency Budget" sheetId="9" state="hidden" r:id="rId5"/>
    <sheet name="Comp 25-26" sheetId="4" state="hidden" r:id="rId6"/>
    <sheet name="2026 Agency Budget" sheetId="3" r:id="rId7"/>
    <sheet name="2026 Labor Alloc $$" sheetId="6" state="hidden" r:id="rId8"/>
    <sheet name="2026 Labor Alloc %" sheetId="5" state="hidden" r:id="rId9"/>
    <sheet name="Cell PhoneTraining " sheetId="14" state="hidden" r:id="rId10"/>
    <sheet name="51320 Small Equip-Software" sheetId="7" state="hidden" r:id="rId11"/>
    <sheet name="Legend Area Plan Module" sheetId="12" state="hidden" r:id="rId12"/>
  </sheets>
  <definedNames>
    <definedName name="_xlnm._FilterDatabase" localSheetId="8" hidden="1">'2026 Labor Alloc %'!$A$5:$AV$74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3" l="1"/>
  <c r="C141" i="3"/>
  <c r="C143" i="3"/>
  <c r="C108" i="3"/>
  <c r="C74" i="3"/>
  <c r="C80" i="3"/>
  <c r="F131" i="3"/>
  <c r="F125" i="3"/>
  <c r="E125" i="3"/>
  <c r="F122" i="3"/>
  <c r="F123" i="3"/>
  <c r="E123" i="3"/>
  <c r="E122" i="3"/>
  <c r="F113" i="3"/>
  <c r="E113" i="3"/>
  <c r="F107" i="3"/>
  <c r="F102" i="3"/>
  <c r="F97" i="3"/>
  <c r="F98" i="3"/>
  <c r="E98" i="3"/>
  <c r="E97" i="3"/>
  <c r="F93" i="3"/>
  <c r="F92" i="3"/>
  <c r="E92" i="3"/>
  <c r="F84" i="3"/>
  <c r="E84" i="3"/>
  <c r="F78" i="3"/>
  <c r="F79" i="3"/>
  <c r="E79" i="3"/>
  <c r="E78" i="3"/>
  <c r="F77" i="3"/>
  <c r="E77" i="3"/>
  <c r="F76" i="3"/>
  <c r="E76" i="3"/>
  <c r="F72" i="3"/>
  <c r="E72" i="3"/>
  <c r="F59" i="3"/>
  <c r="E59" i="3"/>
  <c r="F51" i="3"/>
  <c r="F52" i="3"/>
  <c r="F50" i="3"/>
  <c r="F49" i="3"/>
  <c r="F48" i="3"/>
  <c r="E50" i="3"/>
  <c r="E51" i="3"/>
  <c r="E52" i="3"/>
  <c r="E49" i="3"/>
  <c r="E48" i="3"/>
  <c r="F47" i="3"/>
  <c r="E47" i="3"/>
  <c r="F46" i="3"/>
  <c r="E46" i="3"/>
  <c r="E37" i="3"/>
  <c r="F37" i="3"/>
  <c r="F157" i="3" l="1"/>
  <c r="F158" i="3" s="1"/>
  <c r="E157" i="3"/>
  <c r="E158" i="3" s="1"/>
  <c r="F146" i="3"/>
  <c r="E146" i="3"/>
  <c r="E131" i="3"/>
  <c r="F124" i="3"/>
  <c r="E124" i="3"/>
  <c r="F120" i="3"/>
  <c r="F114" i="3"/>
  <c r="E112" i="3"/>
  <c r="E109" i="3"/>
  <c r="F109" i="3"/>
  <c r="E103" i="3"/>
  <c r="F103" i="3"/>
  <c r="E96" i="3"/>
  <c r="E94" i="3"/>
  <c r="F89" i="3"/>
  <c r="E89" i="3"/>
  <c r="F85" i="3"/>
  <c r="E83" i="3"/>
  <c r="E81" i="3"/>
  <c r="F70" i="3"/>
  <c r="E68" i="3"/>
  <c r="E65" i="3"/>
  <c r="F63" i="3"/>
  <c r="F61" i="3"/>
  <c r="E61" i="3"/>
  <c r="F57" i="3"/>
  <c r="E57" i="3"/>
  <c r="F38" i="3"/>
  <c r="E38" i="3"/>
  <c r="F40" i="3"/>
  <c r="E40" i="3"/>
  <c r="F32" i="3"/>
  <c r="E32" i="3"/>
  <c r="F28" i="3"/>
  <c r="E28" i="3"/>
  <c r="F23" i="3"/>
  <c r="E23" i="3"/>
  <c r="F15" i="3"/>
  <c r="F18" i="3" s="1"/>
  <c r="E13" i="3"/>
  <c r="E18" i="3" s="1"/>
  <c r="E85" i="3" l="1"/>
  <c r="E99" i="3"/>
  <c r="E114" i="3"/>
  <c r="C112" i="3"/>
  <c r="F33" i="3"/>
  <c r="F34" i="3" s="1"/>
  <c r="E66" i="3"/>
  <c r="E70" i="3"/>
  <c r="F81" i="3"/>
  <c r="F99" i="3"/>
  <c r="E33" i="3"/>
  <c r="E34" i="3" s="1"/>
  <c r="F94" i="3"/>
  <c r="E42" i="3"/>
  <c r="F42" i="3"/>
  <c r="F44" i="3" s="1"/>
  <c r="E118" i="3"/>
  <c r="BL13" i="3"/>
  <c r="AV39" i="3"/>
  <c r="C39" i="3" s="1"/>
  <c r="G122" i="3"/>
  <c r="D146" i="3"/>
  <c r="D131" i="3"/>
  <c r="D124" i="3"/>
  <c r="D120" i="3"/>
  <c r="D114" i="3"/>
  <c r="D109" i="3"/>
  <c r="D103" i="3"/>
  <c r="D99" i="3"/>
  <c r="D94" i="3"/>
  <c r="D89" i="3"/>
  <c r="D83" i="3"/>
  <c r="D85" i="3" s="1"/>
  <c r="D81" i="3"/>
  <c r="D70" i="3"/>
  <c r="D66" i="3"/>
  <c r="D61" i="3"/>
  <c r="D57" i="3"/>
  <c r="D54" i="3"/>
  <c r="D44" i="3"/>
  <c r="D40" i="3"/>
  <c r="D32" i="3"/>
  <c r="D28" i="3"/>
  <c r="D23" i="3"/>
  <c r="D18" i="3"/>
  <c r="F10" i="14"/>
  <c r="I10" i="14"/>
  <c r="P93" i="3"/>
  <c r="P13" i="3"/>
  <c r="AV84" i="3"/>
  <c r="K8" i="14"/>
  <c r="J8" i="14"/>
  <c r="J4" i="14"/>
  <c r="J5" i="14"/>
  <c r="J6" i="14"/>
  <c r="J7" i="14"/>
  <c r="J3" i="14"/>
  <c r="F8" i="14"/>
  <c r="G84" i="3" s="1"/>
  <c r="F9" i="14"/>
  <c r="J2" i="14"/>
  <c r="K2" i="14"/>
  <c r="K4" i="14"/>
  <c r="F4" i="14" s="1"/>
  <c r="K5" i="14"/>
  <c r="F5" i="14" s="1"/>
  <c r="K6" i="14"/>
  <c r="F6" i="14" s="1"/>
  <c r="K7" i="14"/>
  <c r="F7" i="14" s="1"/>
  <c r="K3" i="14"/>
  <c r="F3" i="14" s="1"/>
  <c r="R5" i="14"/>
  <c r="G83" i="3"/>
  <c r="I8" i="14"/>
  <c r="I9" i="14"/>
  <c r="K9" i="14"/>
  <c r="AT38" i="3"/>
  <c r="AK106" i="3"/>
  <c r="AI106" i="3"/>
  <c r="AJ106" i="3"/>
  <c r="AB38" i="3"/>
  <c r="AA83" i="3"/>
  <c r="Z38" i="3"/>
  <c r="Y38" i="3"/>
  <c r="X87" i="3"/>
  <c r="W38" i="3"/>
  <c r="V38" i="3"/>
  <c r="U83" i="3"/>
  <c r="O43" i="3"/>
  <c r="P3" i="4"/>
  <c r="N43" i="3"/>
  <c r="L56" i="3"/>
  <c r="J38" i="3"/>
  <c r="H38" i="3"/>
  <c r="AG13" i="3"/>
  <c r="AH13" i="3"/>
  <c r="AF90" i="3"/>
  <c r="AI88" i="3"/>
  <c r="AK83" i="3"/>
  <c r="AL83" i="3"/>
  <c r="AM83" i="3"/>
  <c r="AN83" i="3"/>
  <c r="X38" i="3"/>
  <c r="U56" i="3"/>
  <c r="K148" i="3"/>
  <c r="I83" i="3"/>
  <c r="O38" i="3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B73" i="6"/>
  <c r="AC73" i="6"/>
  <c r="AD73" i="6"/>
  <c r="AE73" i="6"/>
  <c r="AF73" i="6"/>
  <c r="AG73" i="6"/>
  <c r="AH73" i="6"/>
  <c r="AI73" i="6"/>
  <c r="AJ73" i="6"/>
  <c r="AK73" i="6"/>
  <c r="AL73" i="6"/>
  <c r="AM73" i="6"/>
  <c r="AN73" i="6"/>
  <c r="AO73" i="6"/>
  <c r="AP73" i="6"/>
  <c r="AQ73" i="6"/>
  <c r="AR73" i="6"/>
  <c r="AS73" i="6"/>
  <c r="AT73" i="6"/>
  <c r="AU73" i="6"/>
  <c r="AV73" i="6"/>
  <c r="AW73" i="6"/>
  <c r="AX73" i="6"/>
  <c r="AY73" i="6"/>
  <c r="H73" i="6"/>
  <c r="AV73" i="5"/>
  <c r="AZ73" i="6"/>
  <c r="BA73" i="6" s="1"/>
  <c r="G73" i="6"/>
  <c r="O69" i="4"/>
  <c r="P69" i="4"/>
  <c r="Q69" i="4"/>
  <c r="R69" i="4"/>
  <c r="S69" i="4"/>
  <c r="T69" i="4"/>
  <c r="H69" i="4"/>
  <c r="J69" i="4"/>
  <c r="AO97" i="3"/>
  <c r="AP97" i="3"/>
  <c r="AQ97" i="3"/>
  <c r="AM90" i="3"/>
  <c r="AN134" i="3"/>
  <c r="AN133" i="3"/>
  <c r="AJ56" i="3"/>
  <c r="AO123" i="3"/>
  <c r="AP123" i="3"/>
  <c r="AQ123" i="3"/>
  <c r="B111" i="3"/>
  <c r="B64" i="3"/>
  <c r="G96" i="3"/>
  <c r="G88" i="3"/>
  <c r="G87" i="3"/>
  <c r="N38" i="3"/>
  <c r="C60" i="3"/>
  <c r="AX155" i="3"/>
  <c r="AX152" i="3"/>
  <c r="AX145" i="3"/>
  <c r="AX144" i="3"/>
  <c r="AX143" i="3"/>
  <c r="AX142" i="3"/>
  <c r="AX141" i="3"/>
  <c r="AX140" i="3"/>
  <c r="AX123" i="3"/>
  <c r="AX112" i="3"/>
  <c r="AX108" i="3"/>
  <c r="AX97" i="3"/>
  <c r="AX80" i="3"/>
  <c r="AX75" i="3"/>
  <c r="AX74" i="3"/>
  <c r="AX73" i="3"/>
  <c r="AX60" i="3"/>
  <c r="BM60" i="3" s="1"/>
  <c r="AX59" i="3"/>
  <c r="AX53" i="3"/>
  <c r="AX43" i="3"/>
  <c r="AX39" i="3"/>
  <c r="AX37" i="3"/>
  <c r="AX24" i="3"/>
  <c r="AX25" i="3" s="1"/>
  <c r="BH153" i="3"/>
  <c r="BI154" i="3"/>
  <c r="BI153" i="3"/>
  <c r="BN63" i="3"/>
  <c r="BN66" i="3" s="1"/>
  <c r="BN64" i="3"/>
  <c r="BN65" i="3"/>
  <c r="BN68" i="3"/>
  <c r="BN69" i="3"/>
  <c r="BN70" i="3"/>
  <c r="BN72" i="3"/>
  <c r="BN81" i="3" s="1"/>
  <c r="BN76" i="3"/>
  <c r="BN77" i="3"/>
  <c r="BN78" i="3"/>
  <c r="BN79" i="3"/>
  <c r="BN83" i="3"/>
  <c r="BN85" i="3" s="1"/>
  <c r="BN84" i="3"/>
  <c r="BN87" i="3"/>
  <c r="BN89" i="3" s="1"/>
  <c r="BN88" i="3"/>
  <c r="BN90" i="3"/>
  <c r="BN96" i="3"/>
  <c r="BN98" i="3"/>
  <c r="BN99" i="3"/>
  <c r="BN100" i="3"/>
  <c r="BN102" i="3"/>
  <c r="BN103" i="3" s="1"/>
  <c r="BN105" i="3"/>
  <c r="BN109" i="3" s="1"/>
  <c r="BN106" i="3"/>
  <c r="BN107" i="3"/>
  <c r="BN111" i="3"/>
  <c r="BN114" i="3" s="1"/>
  <c r="BN113" i="3"/>
  <c r="BN116" i="3"/>
  <c r="BN120" i="3" s="1"/>
  <c r="BN117" i="3"/>
  <c r="BN118" i="3"/>
  <c r="BN119" i="3"/>
  <c r="BN122" i="3"/>
  <c r="BN124" i="3"/>
  <c r="BN125" i="3"/>
  <c r="BN126" i="3"/>
  <c r="BN128" i="3"/>
  <c r="BN131" i="3" s="1"/>
  <c r="BN129" i="3"/>
  <c r="BN130" i="3"/>
  <c r="BN133" i="3"/>
  <c r="BN146" i="3" s="1"/>
  <c r="BN134" i="3"/>
  <c r="BN135" i="3"/>
  <c r="BN136" i="3"/>
  <c r="BN137" i="3"/>
  <c r="BN138" i="3"/>
  <c r="BN139" i="3"/>
  <c r="BN148" i="3"/>
  <c r="BN149" i="3"/>
  <c r="BN150" i="3"/>
  <c r="BN151" i="3"/>
  <c r="BN153" i="3"/>
  <c r="BN154" i="3"/>
  <c r="BN156" i="3"/>
  <c r="BN159" i="3"/>
  <c r="BJ14" i="3"/>
  <c r="BI14" i="3"/>
  <c r="BH14" i="3"/>
  <c r="BG14" i="3"/>
  <c r="BD14" i="3"/>
  <c r="BC13" i="3"/>
  <c r="AZ13" i="3"/>
  <c r="AY13" i="3"/>
  <c r="G129" i="3"/>
  <c r="R128" i="3"/>
  <c r="G128" i="3"/>
  <c r="E106" i="7"/>
  <c r="E105" i="7"/>
  <c r="B119" i="3"/>
  <c r="AU83" i="3"/>
  <c r="AR83" i="3"/>
  <c r="AV83" i="3"/>
  <c r="AI83" i="3"/>
  <c r="AH83" i="3"/>
  <c r="S83" i="3"/>
  <c r="R83" i="3"/>
  <c r="AO78" i="3"/>
  <c r="AP78" i="3"/>
  <c r="AQ78" i="3"/>
  <c r="I63" i="3"/>
  <c r="C63" i="3" s="1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Q63" i="3"/>
  <c r="AR63" i="3"/>
  <c r="AS63" i="3"/>
  <c r="AT63" i="3"/>
  <c r="AU63" i="3"/>
  <c r="AV63" i="3"/>
  <c r="H63" i="3"/>
  <c r="G63" i="3"/>
  <c r="AV111" i="3"/>
  <c r="G111" i="3"/>
  <c r="AO107" i="3"/>
  <c r="AP107" i="3"/>
  <c r="AQ107" i="3"/>
  <c r="AO102" i="3"/>
  <c r="AP102" i="3"/>
  <c r="AQ102" i="3"/>
  <c r="AU105" i="3"/>
  <c r="R105" i="3"/>
  <c r="K84" i="7"/>
  <c r="K85" i="7"/>
  <c r="K86" i="7" s="1"/>
  <c r="K83" i="7"/>
  <c r="K95" i="7"/>
  <c r="AG106" i="3"/>
  <c r="AB106" i="3"/>
  <c r="R106" i="3"/>
  <c r="M106" i="3"/>
  <c r="K106" i="3"/>
  <c r="G106" i="3"/>
  <c r="K100" i="7"/>
  <c r="K99" i="7"/>
  <c r="K98" i="7"/>
  <c r="K97" i="7"/>
  <c r="K96" i="7"/>
  <c r="K94" i="7"/>
  <c r="K93" i="7"/>
  <c r="AO125" i="3"/>
  <c r="AP125" i="3"/>
  <c r="AQ125" i="3"/>
  <c r="AO122" i="3"/>
  <c r="AP122" i="3"/>
  <c r="AQ122" i="3"/>
  <c r="AO113" i="3"/>
  <c r="AP113" i="3"/>
  <c r="AQ113" i="3"/>
  <c r="K64" i="7"/>
  <c r="G100" i="3"/>
  <c r="AV100" i="3"/>
  <c r="K100" i="3"/>
  <c r="H100" i="3"/>
  <c r="N96" i="3"/>
  <c r="AO98" i="3"/>
  <c r="AP98" i="3"/>
  <c r="AQ98" i="3"/>
  <c r="AO93" i="3"/>
  <c r="AP93" i="3"/>
  <c r="AQ93" i="3"/>
  <c r="E66" i="7"/>
  <c r="E64" i="7"/>
  <c r="E59" i="7"/>
  <c r="AO92" i="3"/>
  <c r="AP92" i="3"/>
  <c r="AQ92" i="3"/>
  <c r="AO79" i="3"/>
  <c r="AP79" i="3"/>
  <c r="AQ79" i="3"/>
  <c r="AO77" i="3"/>
  <c r="AP77" i="3"/>
  <c r="AQ77" i="3"/>
  <c r="G73" i="3"/>
  <c r="C73" i="3" s="1"/>
  <c r="G75" i="3"/>
  <c r="C75" i="3" s="1"/>
  <c r="AO76" i="3"/>
  <c r="AP76" i="3"/>
  <c r="AQ76" i="3"/>
  <c r="AO72" i="3"/>
  <c r="AP72" i="3"/>
  <c r="AQ72" i="3"/>
  <c r="B81" i="3"/>
  <c r="AO59" i="3"/>
  <c r="AP59" i="3"/>
  <c r="AQ59" i="3"/>
  <c r="AO51" i="3"/>
  <c r="AP51" i="3"/>
  <c r="AQ51" i="3"/>
  <c r="AO50" i="3"/>
  <c r="AP50" i="3"/>
  <c r="AQ50" i="3"/>
  <c r="G43" i="3"/>
  <c r="AO49" i="3"/>
  <c r="AP49" i="3"/>
  <c r="AQ49" i="3"/>
  <c r="AO47" i="3"/>
  <c r="AP47" i="3"/>
  <c r="AQ47" i="3"/>
  <c r="H108" i="7"/>
  <c r="B53" i="3" s="1"/>
  <c r="K105" i="3"/>
  <c r="H90" i="7"/>
  <c r="AV7" i="5"/>
  <c r="AV8" i="5"/>
  <c r="AV9" i="5"/>
  <c r="AV10" i="5"/>
  <c r="AV11" i="5"/>
  <c r="AV12" i="5"/>
  <c r="AV13" i="5"/>
  <c r="AV14" i="5"/>
  <c r="AV15" i="5"/>
  <c r="AV16" i="5"/>
  <c r="AV17" i="5"/>
  <c r="AV18" i="5"/>
  <c r="AV19" i="5"/>
  <c r="AV20" i="5"/>
  <c r="AV21" i="5"/>
  <c r="AV22" i="5"/>
  <c r="AV23" i="5"/>
  <c r="AV24" i="5"/>
  <c r="AV25" i="5"/>
  <c r="AV26" i="5"/>
  <c r="AV27" i="5"/>
  <c r="AV28" i="5"/>
  <c r="AV29" i="5"/>
  <c r="AV30" i="5"/>
  <c r="AV31" i="5"/>
  <c r="AV32" i="5"/>
  <c r="AV33" i="5"/>
  <c r="AV34" i="5"/>
  <c r="AV35" i="5"/>
  <c r="AV36" i="5"/>
  <c r="AV37" i="5"/>
  <c r="AV38" i="5"/>
  <c r="AV39" i="5"/>
  <c r="AV40" i="5"/>
  <c r="AV41" i="5"/>
  <c r="AV42" i="5"/>
  <c r="AV43" i="5"/>
  <c r="AV44" i="5"/>
  <c r="AV45" i="5"/>
  <c r="AV46" i="5"/>
  <c r="AV47" i="5"/>
  <c r="AV48" i="5"/>
  <c r="AV49" i="5"/>
  <c r="AV50" i="5"/>
  <c r="AV51" i="5"/>
  <c r="AV52" i="5"/>
  <c r="AV53" i="5"/>
  <c r="AV54" i="5"/>
  <c r="AV55" i="5"/>
  <c r="AV56" i="5"/>
  <c r="AV57" i="5"/>
  <c r="AV58" i="5"/>
  <c r="AV59" i="5"/>
  <c r="AV60" i="5"/>
  <c r="AV61" i="5"/>
  <c r="AV62" i="5"/>
  <c r="AV63" i="5"/>
  <c r="AV64" i="5"/>
  <c r="AV65" i="5"/>
  <c r="AV66" i="5"/>
  <c r="AV67" i="5"/>
  <c r="AV68" i="5"/>
  <c r="AV69" i="5"/>
  <c r="AV70" i="5"/>
  <c r="AV71" i="5"/>
  <c r="AV72" i="5"/>
  <c r="AV74" i="5"/>
  <c r="AV6" i="5"/>
  <c r="AP20" i="3"/>
  <c r="I20" i="3"/>
  <c r="B156" i="3"/>
  <c r="AH139" i="3"/>
  <c r="AG139" i="3"/>
  <c r="AH138" i="3"/>
  <c r="AG138" i="3"/>
  <c r="BM108" i="3"/>
  <c r="B65" i="3"/>
  <c r="F65" i="3" s="1"/>
  <c r="G279" i="3"/>
  <c r="G280" i="3"/>
  <c r="G283" i="3"/>
  <c r="B282" i="3"/>
  <c r="B283" i="3"/>
  <c r="B281" i="3"/>
  <c r="B279" i="3"/>
  <c r="B280" i="3"/>
  <c r="F64" i="3" l="1"/>
  <c r="F53" i="3"/>
  <c r="E53" i="3"/>
  <c r="E120" i="3"/>
  <c r="C100" i="3"/>
  <c r="E44" i="3"/>
  <c r="C43" i="3"/>
  <c r="B43" i="3"/>
  <c r="F54" i="3"/>
  <c r="AH156" i="3"/>
  <c r="AG156" i="3"/>
  <c r="F2" i="14"/>
  <c r="F11" i="14" s="1"/>
  <c r="AO64" i="3"/>
  <c r="AP64" i="3"/>
  <c r="AQ64" i="3"/>
  <c r="AO65" i="3"/>
  <c r="AP65" i="3"/>
  <c r="AQ65" i="3"/>
  <c r="BM39" i="3"/>
  <c r="B39" i="3"/>
  <c r="AO53" i="3"/>
  <c r="AP53" i="3"/>
  <c r="AQ53" i="3"/>
  <c r="N67" i="4"/>
  <c r="N61" i="4"/>
  <c r="O61" i="4" s="1"/>
  <c r="N60" i="4"/>
  <c r="N56" i="4"/>
  <c r="N54" i="4"/>
  <c r="N48" i="4"/>
  <c r="N42" i="4"/>
  <c r="O42" i="4" s="1"/>
  <c r="P42" i="4" s="1"/>
  <c r="N41" i="4"/>
  <c r="N37" i="4"/>
  <c r="N34" i="4"/>
  <c r="O34" i="4" s="1"/>
  <c r="P34" i="4" s="1"/>
  <c r="N35" i="4"/>
  <c r="O35" i="4" s="1"/>
  <c r="P35" i="4" s="1"/>
  <c r="N33" i="4"/>
  <c r="N29" i="4"/>
  <c r="N21" i="4"/>
  <c r="E54" i="3" l="1"/>
  <c r="E160" i="3" s="1"/>
  <c r="E161" i="3" s="1"/>
  <c r="E162" i="3" s="1"/>
  <c r="F66" i="3"/>
  <c r="F160" i="3" s="1"/>
  <c r="F161" i="3" s="1"/>
  <c r="F162" i="3" s="1"/>
  <c r="O29" i="4"/>
  <c r="P29" i="4" s="1"/>
  <c r="Q29" i="4" s="1"/>
  <c r="R29" i="4" s="1"/>
  <c r="O67" i="4"/>
  <c r="P67" i="4" s="1"/>
  <c r="P61" i="4"/>
  <c r="O60" i="4"/>
  <c r="P60" i="4" s="1"/>
  <c r="O56" i="4"/>
  <c r="P56" i="4" s="1"/>
  <c r="O54" i="4"/>
  <c r="P54" i="4" s="1"/>
  <c r="O48" i="4"/>
  <c r="P48" i="4" s="1"/>
  <c r="O41" i="4"/>
  <c r="P41" i="4" s="1"/>
  <c r="Q41" i="4" s="1"/>
  <c r="S41" i="4" s="1"/>
  <c r="Q42" i="4"/>
  <c r="S42" i="4" s="1"/>
  <c r="R42" i="4"/>
  <c r="O37" i="4"/>
  <c r="P37" i="4" s="1"/>
  <c r="Q34" i="4"/>
  <c r="S34" i="4" s="1"/>
  <c r="Q35" i="4"/>
  <c r="S35" i="4" s="1"/>
  <c r="R35" i="4"/>
  <c r="O33" i="4"/>
  <c r="P33" i="4" s="1"/>
  <c r="S29" i="4"/>
  <c r="N14" i="4"/>
  <c r="O14" i="4" l="1"/>
  <c r="P14" i="4" s="1"/>
  <c r="Q14" i="4" s="1"/>
  <c r="S14" i="4" s="1"/>
  <c r="Q67" i="4"/>
  <c r="S67" i="4" s="1"/>
  <c r="R67" i="4"/>
  <c r="Q61" i="4"/>
  <c r="S61" i="4" s="1"/>
  <c r="R61" i="4"/>
  <c r="Q60" i="4"/>
  <c r="S60" i="4" s="1"/>
  <c r="Q56" i="4"/>
  <c r="S56" i="4" s="1"/>
  <c r="Q54" i="4"/>
  <c r="S54" i="4" s="1"/>
  <c r="Q48" i="4"/>
  <c r="S48" i="4" s="1"/>
  <c r="R41" i="4"/>
  <c r="Q37" i="4"/>
  <c r="S37" i="4" s="1"/>
  <c r="R34" i="4"/>
  <c r="Q33" i="4"/>
  <c r="S33" i="4" s="1"/>
  <c r="R60" i="4" l="1"/>
  <c r="R56" i="4"/>
  <c r="R54" i="4"/>
  <c r="R48" i="4"/>
  <c r="R37" i="4"/>
  <c r="R33" i="4"/>
  <c r="AM56" i="3" l="1"/>
  <c r="AM57" i="3" s="1"/>
  <c r="R96" i="3"/>
  <c r="R145" i="3"/>
  <c r="BM145" i="3" s="1"/>
  <c r="R144" i="3"/>
  <c r="C144" i="3" s="1"/>
  <c r="R142" i="3"/>
  <c r="C142" i="3" s="1"/>
  <c r="R140" i="3"/>
  <c r="C140" i="3" s="1"/>
  <c r="R139" i="3"/>
  <c r="R138" i="3"/>
  <c r="R137" i="3"/>
  <c r="R135" i="3"/>
  <c r="R133" i="3"/>
  <c r="AV130" i="3"/>
  <c r="H106" i="3"/>
  <c r="S96" i="3"/>
  <c r="Q96" i="3"/>
  <c r="L96" i="3"/>
  <c r="J96" i="3"/>
  <c r="H96" i="3"/>
  <c r="AH17" i="3"/>
  <c r="AG17" i="3"/>
  <c r="AG18" i="3" s="1"/>
  <c r="AV21" i="3"/>
  <c r="AV22" i="3"/>
  <c r="AV20" i="3"/>
  <c r="AT20" i="3"/>
  <c r="AT21" i="3"/>
  <c r="AT22" i="3"/>
  <c r="AR22" i="3"/>
  <c r="AR21" i="3"/>
  <c r="AQ20" i="3"/>
  <c r="AQ21" i="3"/>
  <c r="AQ22" i="3"/>
  <c r="AP22" i="3"/>
  <c r="AK20" i="3"/>
  <c r="AL20" i="3"/>
  <c r="AM20" i="3"/>
  <c r="AN20" i="3"/>
  <c r="AK21" i="3"/>
  <c r="AL21" i="3"/>
  <c r="AM21" i="3"/>
  <c r="AN21" i="3"/>
  <c r="AK22" i="3"/>
  <c r="AL22" i="3"/>
  <c r="AM22" i="3"/>
  <c r="AN22" i="3"/>
  <c r="AG20" i="3"/>
  <c r="AH20" i="3"/>
  <c r="AI20" i="3"/>
  <c r="AJ20" i="3"/>
  <c r="AG21" i="3"/>
  <c r="AH21" i="3"/>
  <c r="AI21" i="3"/>
  <c r="AJ21" i="3"/>
  <c r="AG22" i="3"/>
  <c r="AH22" i="3"/>
  <c r="AI22" i="3"/>
  <c r="AJ22" i="3"/>
  <c r="AH157" i="3"/>
  <c r="AI156" i="3"/>
  <c r="AI157" i="3" s="1"/>
  <c r="AJ156" i="3"/>
  <c r="AJ157" i="3" s="1"/>
  <c r="AK156" i="3"/>
  <c r="AK157" i="3" s="1"/>
  <c r="AL156" i="3"/>
  <c r="AL157" i="3" s="1"/>
  <c r="AM156" i="3"/>
  <c r="AM157" i="3" s="1"/>
  <c r="AN156" i="3"/>
  <c r="AN157" i="3" s="1"/>
  <c r="AO156" i="3"/>
  <c r="AO157" i="3" s="1"/>
  <c r="AP156" i="3"/>
  <c r="AQ156" i="3"/>
  <c r="AR156" i="3"/>
  <c r="AS156" i="3"/>
  <c r="AT156" i="3"/>
  <c r="AU156" i="3"/>
  <c r="AV156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V134" i="3"/>
  <c r="AV135" i="3"/>
  <c r="AV136" i="3"/>
  <c r="AV137" i="3"/>
  <c r="AV138" i="3"/>
  <c r="AV139" i="3"/>
  <c r="AQ133" i="3"/>
  <c r="AT133" i="3"/>
  <c r="AU133" i="3"/>
  <c r="AO134" i="3"/>
  <c r="AP134" i="3"/>
  <c r="AQ134" i="3"/>
  <c r="AR134" i="3"/>
  <c r="AS134" i="3"/>
  <c r="AT134" i="3"/>
  <c r="AU134" i="3"/>
  <c r="AN135" i="3"/>
  <c r="AO135" i="3"/>
  <c r="AP135" i="3"/>
  <c r="AQ135" i="3"/>
  <c r="AR135" i="3"/>
  <c r="AS135" i="3"/>
  <c r="AT135" i="3"/>
  <c r="AU135" i="3"/>
  <c r="AN136" i="3"/>
  <c r="AO136" i="3"/>
  <c r="AP136" i="3"/>
  <c r="AQ136" i="3"/>
  <c r="AR136" i="3"/>
  <c r="AS136" i="3"/>
  <c r="AT136" i="3"/>
  <c r="AU136" i="3"/>
  <c r="AN137" i="3"/>
  <c r="AO137" i="3"/>
  <c r="AP137" i="3"/>
  <c r="AQ137" i="3"/>
  <c r="AR137" i="3"/>
  <c r="AS137" i="3"/>
  <c r="AT137" i="3"/>
  <c r="AN138" i="3"/>
  <c r="AO138" i="3"/>
  <c r="AP138" i="3"/>
  <c r="AQ138" i="3"/>
  <c r="AR138" i="3"/>
  <c r="AS138" i="3"/>
  <c r="AT138" i="3"/>
  <c r="AU138" i="3"/>
  <c r="AN139" i="3"/>
  <c r="AO139" i="3"/>
  <c r="AP139" i="3"/>
  <c r="AQ139" i="3"/>
  <c r="AR139" i="3"/>
  <c r="AS139" i="3"/>
  <c r="AT139" i="3"/>
  <c r="AU139" i="3"/>
  <c r="AK133" i="3"/>
  <c r="AL133" i="3"/>
  <c r="AM133" i="3"/>
  <c r="AK134" i="3"/>
  <c r="AL134" i="3"/>
  <c r="AM134" i="3"/>
  <c r="AK135" i="3"/>
  <c r="AL135" i="3"/>
  <c r="AM135" i="3"/>
  <c r="AK136" i="3"/>
  <c r="AL136" i="3"/>
  <c r="AM136" i="3"/>
  <c r="AK137" i="3"/>
  <c r="AL137" i="3"/>
  <c r="AM137" i="3"/>
  <c r="AK138" i="3"/>
  <c r="AL138" i="3"/>
  <c r="AM138" i="3"/>
  <c r="AK139" i="3"/>
  <c r="AL139" i="3"/>
  <c r="AM139" i="3"/>
  <c r="AG133" i="3"/>
  <c r="AH133" i="3"/>
  <c r="AI133" i="3"/>
  <c r="AJ133" i="3"/>
  <c r="AG134" i="3"/>
  <c r="AH134" i="3"/>
  <c r="AI134" i="3"/>
  <c r="AJ134" i="3"/>
  <c r="AG135" i="3"/>
  <c r="AH135" i="3"/>
  <c r="AI135" i="3"/>
  <c r="AJ135" i="3"/>
  <c r="AG136" i="3"/>
  <c r="AH136" i="3"/>
  <c r="AI136" i="3"/>
  <c r="AJ136" i="3"/>
  <c r="AG137" i="3"/>
  <c r="AH137" i="3"/>
  <c r="AI137" i="3"/>
  <c r="AJ137" i="3"/>
  <c r="AI138" i="3"/>
  <c r="AJ138" i="3"/>
  <c r="AI139" i="3"/>
  <c r="AJ139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I129" i="3"/>
  <c r="AJ129" i="3"/>
  <c r="AK129" i="3"/>
  <c r="AL129" i="3"/>
  <c r="AM129" i="3"/>
  <c r="AN129" i="3"/>
  <c r="AN131" i="3" s="1"/>
  <c r="AO129" i="3"/>
  <c r="AQ129" i="3"/>
  <c r="AR129" i="3"/>
  <c r="AS129" i="3"/>
  <c r="AT129" i="3"/>
  <c r="AU129" i="3"/>
  <c r="AV129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O124" i="3"/>
  <c r="AQ119" i="3"/>
  <c r="AR119" i="3"/>
  <c r="AS119" i="3"/>
  <c r="AT119" i="3"/>
  <c r="AG119" i="3"/>
  <c r="AH119" i="3"/>
  <c r="AI119" i="3"/>
  <c r="AJ119" i="3"/>
  <c r="AK119" i="3"/>
  <c r="AL119" i="3"/>
  <c r="AM119" i="3"/>
  <c r="AN119" i="3"/>
  <c r="AO119" i="3"/>
  <c r="AP119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H106" i="3"/>
  <c r="AL106" i="3"/>
  <c r="AM106" i="3"/>
  <c r="AO106" i="3"/>
  <c r="AP106" i="3"/>
  <c r="AQ106" i="3"/>
  <c r="AR106" i="3"/>
  <c r="AS106" i="3"/>
  <c r="AT106" i="3"/>
  <c r="AV106" i="3"/>
  <c r="AG105" i="3"/>
  <c r="AH105" i="3"/>
  <c r="AI105" i="3"/>
  <c r="AJ105" i="3"/>
  <c r="AK105" i="3"/>
  <c r="AL105" i="3"/>
  <c r="AM105" i="3"/>
  <c r="AN105" i="3"/>
  <c r="AO105" i="3"/>
  <c r="AP105" i="3"/>
  <c r="AQ105" i="3"/>
  <c r="AS105" i="3"/>
  <c r="AT105" i="3"/>
  <c r="AV105" i="3"/>
  <c r="AO103" i="3"/>
  <c r="AG90" i="3"/>
  <c r="AH90" i="3"/>
  <c r="AI90" i="3"/>
  <c r="AJ90" i="3"/>
  <c r="AK90" i="3"/>
  <c r="AL90" i="3"/>
  <c r="AN90" i="3"/>
  <c r="AO90" i="3"/>
  <c r="AQ90" i="3"/>
  <c r="AR90" i="3"/>
  <c r="AS90" i="3"/>
  <c r="AT90" i="3"/>
  <c r="AV90" i="3"/>
  <c r="AG88" i="3"/>
  <c r="AH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O87" i="3"/>
  <c r="AP87" i="3"/>
  <c r="AQ87" i="3"/>
  <c r="AR87" i="3"/>
  <c r="AS87" i="3"/>
  <c r="AT87" i="3"/>
  <c r="AU87" i="3"/>
  <c r="AV87" i="3"/>
  <c r="AG87" i="3"/>
  <c r="AH87" i="3"/>
  <c r="AI87" i="3"/>
  <c r="AI89" i="3" s="1"/>
  <c r="AJ87" i="3"/>
  <c r="AK87" i="3"/>
  <c r="AL87" i="3"/>
  <c r="AM87" i="3"/>
  <c r="AN87" i="3"/>
  <c r="AG84" i="3"/>
  <c r="AH84" i="3"/>
  <c r="AI84" i="3"/>
  <c r="AI85" i="3" s="1"/>
  <c r="AJ84" i="3"/>
  <c r="AL84" i="3"/>
  <c r="AL85" i="3" s="1"/>
  <c r="AM84" i="3"/>
  <c r="AN84" i="3"/>
  <c r="AO84" i="3"/>
  <c r="AO85" i="3" s="1"/>
  <c r="AP84" i="3"/>
  <c r="AQ84" i="3"/>
  <c r="AR84" i="3"/>
  <c r="AS84" i="3"/>
  <c r="AT84" i="3"/>
  <c r="AU84" i="3"/>
  <c r="AJ83" i="3"/>
  <c r="AQ83" i="3"/>
  <c r="AS83" i="3"/>
  <c r="AT83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P56" i="3"/>
  <c r="AQ56" i="3"/>
  <c r="AR56" i="3"/>
  <c r="AS56" i="3"/>
  <c r="AT56" i="3"/>
  <c r="AU56" i="3"/>
  <c r="AO56" i="3"/>
  <c r="AO57" i="3" s="1"/>
  <c r="AG56" i="3"/>
  <c r="AG57" i="3" s="1"/>
  <c r="AH56" i="3"/>
  <c r="AH57" i="3" s="1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G31" i="3"/>
  <c r="AH31" i="3"/>
  <c r="AH32" i="3" s="1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O61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G126" i="3"/>
  <c r="T156" i="3"/>
  <c r="T157" i="3" s="1"/>
  <c r="T153" i="3"/>
  <c r="T154" i="3"/>
  <c r="T147" i="3"/>
  <c r="T148" i="3"/>
  <c r="T149" i="3"/>
  <c r="T150" i="3"/>
  <c r="T151" i="3"/>
  <c r="T133" i="3"/>
  <c r="T134" i="3"/>
  <c r="T135" i="3"/>
  <c r="T136" i="3"/>
  <c r="T137" i="3"/>
  <c r="T138" i="3"/>
  <c r="T139" i="3"/>
  <c r="T128" i="3"/>
  <c r="T129" i="3"/>
  <c r="T130" i="3"/>
  <c r="T116" i="3"/>
  <c r="T117" i="3"/>
  <c r="T118" i="3"/>
  <c r="T119" i="3"/>
  <c r="T111" i="3"/>
  <c r="T105" i="3"/>
  <c r="T106" i="3"/>
  <c r="T90" i="3"/>
  <c r="T87" i="3"/>
  <c r="T88" i="3"/>
  <c r="T83" i="3"/>
  <c r="T84" i="3"/>
  <c r="T68" i="3"/>
  <c r="T69" i="3"/>
  <c r="T56" i="3"/>
  <c r="T38" i="3"/>
  <c r="T30" i="3"/>
  <c r="T31" i="3"/>
  <c r="T26" i="3"/>
  <c r="T27" i="3"/>
  <c r="T20" i="3"/>
  <c r="T21" i="3"/>
  <c r="T22" i="3"/>
  <c r="AO275" i="3"/>
  <c r="AO274" i="3"/>
  <c r="AO273" i="3"/>
  <c r="AO272" i="3"/>
  <c r="AO271" i="3"/>
  <c r="AO208" i="3"/>
  <c r="AO212" i="3" s="1"/>
  <c r="AO215" i="3" s="1"/>
  <c r="AO207" i="3"/>
  <c r="AO211" i="3" s="1"/>
  <c r="AO214" i="3" s="1"/>
  <c r="AO206" i="3"/>
  <c r="AO210" i="3" s="1"/>
  <c r="AO192" i="3"/>
  <c r="AO196" i="3" s="1"/>
  <c r="AO200" i="3" s="1"/>
  <c r="AO191" i="3"/>
  <c r="AO195" i="3" s="1"/>
  <c r="AO199" i="3" s="1"/>
  <c r="AO190" i="3"/>
  <c r="AO194" i="3" s="1"/>
  <c r="AO198" i="3" s="1"/>
  <c r="AO169" i="3"/>
  <c r="AO159" i="3"/>
  <c r="AO96" i="3"/>
  <c r="AO38" i="3"/>
  <c r="AO22" i="3"/>
  <c r="AO21" i="3"/>
  <c r="AO17" i="3"/>
  <c r="AO16" i="3"/>
  <c r="AO15" i="3"/>
  <c r="AO14" i="3"/>
  <c r="AN275" i="3"/>
  <c r="AN274" i="3"/>
  <c r="AN273" i="3"/>
  <c r="AN272" i="3"/>
  <c r="AN271" i="3"/>
  <c r="AN208" i="3"/>
  <c r="AN212" i="3" s="1"/>
  <c r="AN215" i="3" s="1"/>
  <c r="AN207" i="3"/>
  <c r="AN211" i="3" s="1"/>
  <c r="AN214" i="3" s="1"/>
  <c r="AN206" i="3"/>
  <c r="AN210" i="3" s="1"/>
  <c r="AN192" i="3"/>
  <c r="AN196" i="3" s="1"/>
  <c r="AN200" i="3" s="1"/>
  <c r="AN191" i="3"/>
  <c r="AN195" i="3" s="1"/>
  <c r="AN199" i="3" s="1"/>
  <c r="AN190" i="3"/>
  <c r="AN194" i="3" s="1"/>
  <c r="AN198" i="3" s="1"/>
  <c r="AN169" i="3"/>
  <c r="AN159" i="3"/>
  <c r="AN96" i="3"/>
  <c r="AN57" i="3"/>
  <c r="AN38" i="3"/>
  <c r="AN18" i="3"/>
  <c r="AH275" i="3"/>
  <c r="AG275" i="3"/>
  <c r="AH274" i="3"/>
  <c r="AG274" i="3"/>
  <c r="AH273" i="3"/>
  <c r="AG273" i="3"/>
  <c r="AH272" i="3"/>
  <c r="AG272" i="3"/>
  <c r="AH271" i="3"/>
  <c r="AG271" i="3"/>
  <c r="AH208" i="3"/>
  <c r="AH212" i="3" s="1"/>
  <c r="AH215" i="3" s="1"/>
  <c r="AG208" i="3"/>
  <c r="AG212" i="3" s="1"/>
  <c r="AG215" i="3" s="1"/>
  <c r="AH207" i="3"/>
  <c r="AH211" i="3" s="1"/>
  <c r="AH214" i="3" s="1"/>
  <c r="AG207" i="3"/>
  <c r="AG211" i="3" s="1"/>
  <c r="AG214" i="3" s="1"/>
  <c r="AH206" i="3"/>
  <c r="AH210" i="3" s="1"/>
  <c r="AG206" i="3"/>
  <c r="AG210" i="3" s="1"/>
  <c r="AH192" i="3"/>
  <c r="AH196" i="3" s="1"/>
  <c r="AH200" i="3" s="1"/>
  <c r="AG192" i="3"/>
  <c r="AG196" i="3" s="1"/>
  <c r="AG200" i="3" s="1"/>
  <c r="AH191" i="3"/>
  <c r="AH195" i="3" s="1"/>
  <c r="AH199" i="3" s="1"/>
  <c r="AG191" i="3"/>
  <c r="AG195" i="3" s="1"/>
  <c r="AG199" i="3" s="1"/>
  <c r="AH190" i="3"/>
  <c r="AH194" i="3" s="1"/>
  <c r="AH198" i="3" s="1"/>
  <c r="AG190" i="3"/>
  <c r="AG194" i="3" s="1"/>
  <c r="AG198" i="3" s="1"/>
  <c r="AH169" i="3"/>
  <c r="AG169" i="3"/>
  <c r="AH159" i="3"/>
  <c r="AG159" i="3"/>
  <c r="AG157" i="3"/>
  <c r="AH151" i="3"/>
  <c r="AG151" i="3"/>
  <c r="AH150" i="3"/>
  <c r="AG150" i="3"/>
  <c r="AH149" i="3"/>
  <c r="AG149" i="3"/>
  <c r="AH148" i="3"/>
  <c r="AG148" i="3"/>
  <c r="AH147" i="3"/>
  <c r="AG147" i="3"/>
  <c r="AH89" i="3"/>
  <c r="AH14" i="3"/>
  <c r="AM275" i="3"/>
  <c r="AM274" i="3"/>
  <c r="AM273" i="3"/>
  <c r="AM272" i="3"/>
  <c r="AM271" i="3"/>
  <c r="AM208" i="3"/>
  <c r="AM212" i="3" s="1"/>
  <c r="AM215" i="3" s="1"/>
  <c r="AM207" i="3"/>
  <c r="AM211" i="3" s="1"/>
  <c r="AM214" i="3" s="1"/>
  <c r="AM206" i="3"/>
  <c r="AM210" i="3" s="1"/>
  <c r="AM192" i="3"/>
  <c r="AM196" i="3" s="1"/>
  <c r="AM200" i="3" s="1"/>
  <c r="AM191" i="3"/>
  <c r="AM195" i="3" s="1"/>
  <c r="AM199" i="3" s="1"/>
  <c r="AM190" i="3"/>
  <c r="AM194" i="3" s="1"/>
  <c r="AM198" i="3" s="1"/>
  <c r="AM169" i="3"/>
  <c r="AM159" i="3"/>
  <c r="AM96" i="3"/>
  <c r="AM38" i="3"/>
  <c r="AM28" i="3"/>
  <c r="AM17" i="3"/>
  <c r="AM16" i="3"/>
  <c r="AM15" i="3"/>
  <c r="AM14" i="3"/>
  <c r="AI275" i="3"/>
  <c r="AI274" i="3"/>
  <c r="AI273" i="3"/>
  <c r="AI272" i="3"/>
  <c r="AI271" i="3"/>
  <c r="AI208" i="3"/>
  <c r="AI212" i="3" s="1"/>
  <c r="AI215" i="3" s="1"/>
  <c r="AI207" i="3"/>
  <c r="AI211" i="3" s="1"/>
  <c r="AI214" i="3" s="1"/>
  <c r="AI206" i="3"/>
  <c r="AI210" i="3" s="1"/>
  <c r="AI192" i="3"/>
  <c r="AI196" i="3" s="1"/>
  <c r="AI200" i="3" s="1"/>
  <c r="AI191" i="3"/>
  <c r="AI195" i="3" s="1"/>
  <c r="AI199" i="3" s="1"/>
  <c r="AI190" i="3"/>
  <c r="AI194" i="3" s="1"/>
  <c r="AI198" i="3" s="1"/>
  <c r="AI169" i="3"/>
  <c r="AI159" i="3"/>
  <c r="AI96" i="3"/>
  <c r="AI57" i="3"/>
  <c r="AI17" i="3"/>
  <c r="AI16" i="3"/>
  <c r="AI15" i="3"/>
  <c r="AI14" i="3"/>
  <c r="AL275" i="3"/>
  <c r="AK275" i="3"/>
  <c r="AJ275" i="3"/>
  <c r="AL274" i="3"/>
  <c r="AK274" i="3"/>
  <c r="AJ274" i="3"/>
  <c r="AL273" i="3"/>
  <c r="AK273" i="3"/>
  <c r="AJ273" i="3"/>
  <c r="AL272" i="3"/>
  <c r="AK272" i="3"/>
  <c r="AJ272" i="3"/>
  <c r="AL271" i="3"/>
  <c r="AK271" i="3"/>
  <c r="AJ271" i="3"/>
  <c r="AL208" i="3"/>
  <c r="AL212" i="3" s="1"/>
  <c r="AL215" i="3" s="1"/>
  <c r="AK208" i="3"/>
  <c r="AK212" i="3" s="1"/>
  <c r="AK215" i="3" s="1"/>
  <c r="AJ208" i="3"/>
  <c r="AJ212" i="3" s="1"/>
  <c r="AJ215" i="3" s="1"/>
  <c r="AL207" i="3"/>
  <c r="AL211" i="3" s="1"/>
  <c r="AL214" i="3" s="1"/>
  <c r="AK207" i="3"/>
  <c r="AK211" i="3" s="1"/>
  <c r="AK214" i="3" s="1"/>
  <c r="AJ207" i="3"/>
  <c r="AJ211" i="3" s="1"/>
  <c r="AJ214" i="3" s="1"/>
  <c r="AL206" i="3"/>
  <c r="AL210" i="3" s="1"/>
  <c r="AK206" i="3"/>
  <c r="AK210" i="3" s="1"/>
  <c r="AJ206" i="3"/>
  <c r="AJ210" i="3" s="1"/>
  <c r="AL192" i="3"/>
  <c r="AL196" i="3" s="1"/>
  <c r="AL200" i="3" s="1"/>
  <c r="AK192" i="3"/>
  <c r="AK196" i="3" s="1"/>
  <c r="AK200" i="3" s="1"/>
  <c r="AJ192" i="3"/>
  <c r="AJ196" i="3" s="1"/>
  <c r="AJ200" i="3" s="1"/>
  <c r="AL191" i="3"/>
  <c r="AL195" i="3" s="1"/>
  <c r="AL199" i="3" s="1"/>
  <c r="AK191" i="3"/>
  <c r="AK195" i="3" s="1"/>
  <c r="AK199" i="3" s="1"/>
  <c r="AJ191" i="3"/>
  <c r="AJ195" i="3" s="1"/>
  <c r="AJ199" i="3" s="1"/>
  <c r="AL190" i="3"/>
  <c r="AL194" i="3" s="1"/>
  <c r="AL198" i="3" s="1"/>
  <c r="AK190" i="3"/>
  <c r="AK194" i="3" s="1"/>
  <c r="AK198" i="3" s="1"/>
  <c r="AJ190" i="3"/>
  <c r="AJ194" i="3" s="1"/>
  <c r="AJ198" i="3" s="1"/>
  <c r="AL169" i="3"/>
  <c r="AK169" i="3"/>
  <c r="AJ169" i="3"/>
  <c r="AL159" i="3"/>
  <c r="AK159" i="3"/>
  <c r="AJ159" i="3"/>
  <c r="AL96" i="3"/>
  <c r="AK96" i="3"/>
  <c r="AJ96" i="3"/>
  <c r="AL57" i="3"/>
  <c r="AK57" i="3"/>
  <c r="AJ57" i="3"/>
  <c r="AL38" i="3"/>
  <c r="AK38" i="3"/>
  <c r="AJ38" i="3"/>
  <c r="AK32" i="3"/>
  <c r="AL17" i="3"/>
  <c r="AK17" i="3"/>
  <c r="AJ17" i="3"/>
  <c r="AL16" i="3"/>
  <c r="AK16" i="3"/>
  <c r="AJ16" i="3"/>
  <c r="AL15" i="3"/>
  <c r="AK15" i="3"/>
  <c r="AJ15" i="3"/>
  <c r="AL14" i="3"/>
  <c r="AK14" i="3"/>
  <c r="AJ14" i="3"/>
  <c r="O86" i="4"/>
  <c r="O88" i="4"/>
  <c r="M86" i="4"/>
  <c r="L86" i="4"/>
  <c r="K87" i="4"/>
  <c r="K86" i="4"/>
  <c r="M87" i="4"/>
  <c r="M88" i="4"/>
  <c r="L88" i="4"/>
  <c r="L87" i="4"/>
  <c r="K88" i="4"/>
  <c r="K89" i="4" s="1"/>
  <c r="H30" i="3"/>
  <c r="I30" i="3"/>
  <c r="J30" i="3"/>
  <c r="K30" i="3"/>
  <c r="L30" i="3"/>
  <c r="M30" i="3"/>
  <c r="N30" i="3"/>
  <c r="O30" i="3"/>
  <c r="P30" i="3"/>
  <c r="Q30" i="3"/>
  <c r="R30" i="3"/>
  <c r="S30" i="3"/>
  <c r="U30" i="3"/>
  <c r="V30" i="3"/>
  <c r="W30" i="3"/>
  <c r="X30" i="3"/>
  <c r="Y30" i="3"/>
  <c r="Z30" i="3"/>
  <c r="AA30" i="3"/>
  <c r="AB30" i="3"/>
  <c r="AC30" i="3"/>
  <c r="AD30" i="3"/>
  <c r="AE30" i="3"/>
  <c r="AF30" i="3"/>
  <c r="H31" i="3"/>
  <c r="I31" i="3"/>
  <c r="J31" i="3"/>
  <c r="K31" i="3"/>
  <c r="L31" i="3"/>
  <c r="M31" i="3"/>
  <c r="N31" i="3"/>
  <c r="O31" i="3"/>
  <c r="P31" i="3"/>
  <c r="Q31" i="3"/>
  <c r="R31" i="3"/>
  <c r="S31" i="3"/>
  <c r="U31" i="3"/>
  <c r="V31" i="3"/>
  <c r="W31" i="3"/>
  <c r="X31" i="3"/>
  <c r="Y31" i="3"/>
  <c r="Z31" i="3"/>
  <c r="AA31" i="3"/>
  <c r="AB31" i="3"/>
  <c r="AC31" i="3"/>
  <c r="AD31" i="3"/>
  <c r="AE31" i="3"/>
  <c r="AF31" i="3"/>
  <c r="G31" i="3"/>
  <c r="G30" i="3"/>
  <c r="H26" i="3"/>
  <c r="I26" i="3"/>
  <c r="J26" i="3"/>
  <c r="K26" i="3"/>
  <c r="L26" i="3"/>
  <c r="M26" i="3"/>
  <c r="N26" i="3"/>
  <c r="O26" i="3"/>
  <c r="P26" i="3"/>
  <c r="Q26" i="3"/>
  <c r="R26" i="3"/>
  <c r="S26" i="3"/>
  <c r="U26" i="3"/>
  <c r="V26" i="3"/>
  <c r="W26" i="3"/>
  <c r="X26" i="3"/>
  <c r="Y26" i="3"/>
  <c r="Z26" i="3"/>
  <c r="AA26" i="3"/>
  <c r="AB26" i="3"/>
  <c r="AC26" i="3"/>
  <c r="AD26" i="3"/>
  <c r="AE26" i="3"/>
  <c r="AF26" i="3"/>
  <c r="H27" i="3"/>
  <c r="I27" i="3"/>
  <c r="J27" i="3"/>
  <c r="K27" i="3"/>
  <c r="L27" i="3"/>
  <c r="M27" i="3"/>
  <c r="N27" i="3"/>
  <c r="O27" i="3"/>
  <c r="P27" i="3"/>
  <c r="Q27" i="3"/>
  <c r="R27" i="3"/>
  <c r="S27" i="3"/>
  <c r="U27" i="3"/>
  <c r="V27" i="3"/>
  <c r="W27" i="3"/>
  <c r="X27" i="3"/>
  <c r="Y27" i="3"/>
  <c r="Z27" i="3"/>
  <c r="AA27" i="3"/>
  <c r="AB27" i="3"/>
  <c r="AC27" i="3"/>
  <c r="AD27" i="3"/>
  <c r="AE27" i="3"/>
  <c r="AF27" i="3"/>
  <c r="G27" i="3"/>
  <c r="G26" i="3"/>
  <c r="AS22" i="3"/>
  <c r="AS21" i="3"/>
  <c r="AS20" i="3"/>
  <c r="H20" i="3"/>
  <c r="J20" i="3"/>
  <c r="K20" i="3"/>
  <c r="L20" i="3"/>
  <c r="M20" i="3"/>
  <c r="N20" i="3"/>
  <c r="O20" i="3"/>
  <c r="P20" i="3"/>
  <c r="Q20" i="3"/>
  <c r="S20" i="3"/>
  <c r="U20" i="3"/>
  <c r="V20" i="3"/>
  <c r="W20" i="3"/>
  <c r="X20" i="3"/>
  <c r="Y20" i="3"/>
  <c r="Z20" i="3"/>
  <c r="AA20" i="3"/>
  <c r="AB20" i="3"/>
  <c r="AC20" i="3"/>
  <c r="AD20" i="3"/>
  <c r="AE20" i="3"/>
  <c r="AF20" i="3"/>
  <c r="H21" i="3"/>
  <c r="I21" i="3"/>
  <c r="J21" i="3"/>
  <c r="K21" i="3"/>
  <c r="L21" i="3"/>
  <c r="M21" i="3"/>
  <c r="N21" i="3"/>
  <c r="O21" i="3"/>
  <c r="P21" i="3"/>
  <c r="Q21" i="3"/>
  <c r="R21" i="3"/>
  <c r="S21" i="3"/>
  <c r="U21" i="3"/>
  <c r="V21" i="3"/>
  <c r="W21" i="3"/>
  <c r="X21" i="3"/>
  <c r="Y21" i="3"/>
  <c r="Z21" i="3"/>
  <c r="AA21" i="3"/>
  <c r="AB21" i="3"/>
  <c r="AC21" i="3"/>
  <c r="AD21" i="3"/>
  <c r="AE21" i="3"/>
  <c r="AF21" i="3"/>
  <c r="H22" i="3"/>
  <c r="I22" i="3"/>
  <c r="J22" i="3"/>
  <c r="K22" i="3"/>
  <c r="L22" i="3"/>
  <c r="M22" i="3"/>
  <c r="N22" i="3"/>
  <c r="O22" i="3"/>
  <c r="P22" i="3"/>
  <c r="Q22" i="3"/>
  <c r="R22" i="3"/>
  <c r="S22" i="3"/>
  <c r="U22" i="3"/>
  <c r="V22" i="3"/>
  <c r="W22" i="3"/>
  <c r="X22" i="3"/>
  <c r="Y22" i="3"/>
  <c r="Z22" i="3"/>
  <c r="AA22" i="3"/>
  <c r="AB22" i="3"/>
  <c r="AC22" i="3"/>
  <c r="AD22" i="3"/>
  <c r="AE22" i="3"/>
  <c r="AF22" i="3"/>
  <c r="G21" i="3"/>
  <c r="G22" i="3"/>
  <c r="G20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U153" i="3"/>
  <c r="V153" i="3"/>
  <c r="W153" i="3"/>
  <c r="X153" i="3"/>
  <c r="Y153" i="3"/>
  <c r="Z153" i="3"/>
  <c r="AA153" i="3"/>
  <c r="AB153" i="3"/>
  <c r="AC153" i="3"/>
  <c r="AD153" i="3"/>
  <c r="AE153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U154" i="3"/>
  <c r="V154" i="3"/>
  <c r="W154" i="3"/>
  <c r="X154" i="3"/>
  <c r="Y154" i="3"/>
  <c r="Z154" i="3"/>
  <c r="AA154" i="3"/>
  <c r="AB154" i="3"/>
  <c r="AC154" i="3"/>
  <c r="AD154" i="3"/>
  <c r="AE154" i="3"/>
  <c r="G154" i="3"/>
  <c r="G153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U156" i="3"/>
  <c r="V156" i="3"/>
  <c r="W156" i="3"/>
  <c r="X156" i="3"/>
  <c r="Y156" i="3"/>
  <c r="Z156" i="3"/>
  <c r="AA156" i="3"/>
  <c r="AB156" i="3"/>
  <c r="AC156" i="3"/>
  <c r="AC157" i="3" s="1"/>
  <c r="AD156" i="3"/>
  <c r="AD157" i="3" s="1"/>
  <c r="AE156" i="3"/>
  <c r="AF156" i="3"/>
  <c r="G156" i="3"/>
  <c r="H148" i="3"/>
  <c r="I148" i="3"/>
  <c r="J148" i="3"/>
  <c r="L148" i="3"/>
  <c r="M148" i="3"/>
  <c r="N148" i="3"/>
  <c r="O148" i="3"/>
  <c r="P148" i="3"/>
  <c r="Q148" i="3"/>
  <c r="S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V149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G149" i="3"/>
  <c r="G150" i="3"/>
  <c r="G151" i="3"/>
  <c r="AU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V147" i="3"/>
  <c r="G147" i="3"/>
  <c r="BM141" i="3"/>
  <c r="BM14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S137" i="3"/>
  <c r="S136" i="3"/>
  <c r="S135" i="3"/>
  <c r="S134" i="3"/>
  <c r="S133" i="3"/>
  <c r="H133" i="3"/>
  <c r="I133" i="3"/>
  <c r="J133" i="3"/>
  <c r="K133" i="3"/>
  <c r="L133" i="3"/>
  <c r="M133" i="3"/>
  <c r="N133" i="3"/>
  <c r="O133" i="3"/>
  <c r="P133" i="3"/>
  <c r="Q133" i="3"/>
  <c r="H134" i="3"/>
  <c r="I134" i="3"/>
  <c r="J134" i="3"/>
  <c r="K134" i="3"/>
  <c r="L134" i="3"/>
  <c r="M134" i="3"/>
  <c r="N134" i="3"/>
  <c r="O134" i="3"/>
  <c r="P134" i="3"/>
  <c r="Q134" i="3"/>
  <c r="H135" i="3"/>
  <c r="I135" i="3"/>
  <c r="J135" i="3"/>
  <c r="K135" i="3"/>
  <c r="L135" i="3"/>
  <c r="M135" i="3"/>
  <c r="N135" i="3"/>
  <c r="O135" i="3"/>
  <c r="P135" i="3"/>
  <c r="Q135" i="3"/>
  <c r="H136" i="3"/>
  <c r="I136" i="3"/>
  <c r="J136" i="3"/>
  <c r="K136" i="3"/>
  <c r="L136" i="3"/>
  <c r="M136" i="3"/>
  <c r="N136" i="3"/>
  <c r="O136" i="3"/>
  <c r="P136" i="3"/>
  <c r="Q136" i="3"/>
  <c r="H137" i="3"/>
  <c r="I137" i="3"/>
  <c r="J137" i="3"/>
  <c r="K137" i="3"/>
  <c r="L137" i="3"/>
  <c r="M137" i="3"/>
  <c r="N137" i="3"/>
  <c r="O137" i="3"/>
  <c r="P137" i="3"/>
  <c r="Q137" i="3"/>
  <c r="G134" i="3"/>
  <c r="G135" i="3"/>
  <c r="G136" i="3"/>
  <c r="G137" i="3"/>
  <c r="G133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G130" i="3"/>
  <c r="H128" i="3"/>
  <c r="I128" i="3"/>
  <c r="J128" i="3"/>
  <c r="K128" i="3"/>
  <c r="L128" i="3"/>
  <c r="M128" i="3"/>
  <c r="N128" i="3"/>
  <c r="O128" i="3"/>
  <c r="P128" i="3"/>
  <c r="Q128" i="3"/>
  <c r="S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I106" i="3"/>
  <c r="J106" i="3"/>
  <c r="L106" i="3"/>
  <c r="S106" i="3"/>
  <c r="U106" i="3"/>
  <c r="V106" i="3"/>
  <c r="W106" i="3"/>
  <c r="X106" i="3"/>
  <c r="Y106" i="3"/>
  <c r="Z106" i="3"/>
  <c r="AA106" i="3"/>
  <c r="AC106" i="3"/>
  <c r="AD106" i="3"/>
  <c r="AE106" i="3"/>
  <c r="AF106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G56" i="3"/>
  <c r="I105" i="3"/>
  <c r="J105" i="3"/>
  <c r="L105" i="3"/>
  <c r="N105" i="3"/>
  <c r="O105" i="3"/>
  <c r="P105" i="3"/>
  <c r="Q105" i="3"/>
  <c r="S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G105" i="3"/>
  <c r="P96" i="3"/>
  <c r="M96" i="3"/>
  <c r="K96" i="3"/>
  <c r="O96" i="3"/>
  <c r="I96" i="3"/>
  <c r="H139" i="3"/>
  <c r="I139" i="3"/>
  <c r="J139" i="3"/>
  <c r="K139" i="3"/>
  <c r="L139" i="3"/>
  <c r="M139" i="3"/>
  <c r="N139" i="3"/>
  <c r="O139" i="3"/>
  <c r="P139" i="3"/>
  <c r="Q139" i="3"/>
  <c r="S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G139" i="3"/>
  <c r="H138" i="3"/>
  <c r="I138" i="3"/>
  <c r="J138" i="3"/>
  <c r="K138" i="3"/>
  <c r="L138" i="3"/>
  <c r="M138" i="3"/>
  <c r="N138" i="3"/>
  <c r="O138" i="3"/>
  <c r="P138" i="3"/>
  <c r="Q138" i="3"/>
  <c r="S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G138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G116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G119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L117" i="3"/>
  <c r="M117" i="3"/>
  <c r="N117" i="3"/>
  <c r="O117" i="3"/>
  <c r="P117" i="3"/>
  <c r="Q117" i="3"/>
  <c r="R117" i="3"/>
  <c r="S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H117" i="3"/>
  <c r="I117" i="3"/>
  <c r="J117" i="3"/>
  <c r="K117" i="3"/>
  <c r="U96" i="3"/>
  <c r="V96" i="3"/>
  <c r="W96" i="3"/>
  <c r="Y96" i="3"/>
  <c r="AA96" i="3"/>
  <c r="AC96" i="3"/>
  <c r="AD96" i="3"/>
  <c r="AE96" i="3"/>
  <c r="AF96" i="3"/>
  <c r="AP96" i="3"/>
  <c r="AQ96" i="3"/>
  <c r="AR96" i="3"/>
  <c r="AT96" i="3"/>
  <c r="AU96" i="3"/>
  <c r="AV96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U90" i="3"/>
  <c r="V90" i="3"/>
  <c r="W90" i="3"/>
  <c r="X90" i="3"/>
  <c r="Y90" i="3"/>
  <c r="Z90" i="3"/>
  <c r="AA90" i="3"/>
  <c r="AB90" i="3"/>
  <c r="AC90" i="3"/>
  <c r="AD90" i="3"/>
  <c r="AE90" i="3"/>
  <c r="Q38" i="3"/>
  <c r="R38" i="3"/>
  <c r="S38" i="3"/>
  <c r="U38" i="3"/>
  <c r="AA38" i="3"/>
  <c r="AC38" i="3"/>
  <c r="AD38" i="3"/>
  <c r="AE38" i="3"/>
  <c r="AF38" i="3"/>
  <c r="AP38" i="3"/>
  <c r="AQ38" i="3"/>
  <c r="AR38" i="3"/>
  <c r="AS38" i="3"/>
  <c r="AU38" i="3"/>
  <c r="AV38" i="3"/>
  <c r="I38" i="3"/>
  <c r="K38" i="3"/>
  <c r="L38" i="3"/>
  <c r="M38" i="3"/>
  <c r="P38" i="3"/>
  <c r="BM80" i="3"/>
  <c r="I56" i="3"/>
  <c r="J56" i="3"/>
  <c r="K56" i="3"/>
  <c r="M56" i="3"/>
  <c r="N56" i="3"/>
  <c r="O56" i="3"/>
  <c r="P56" i="3"/>
  <c r="Q56" i="3"/>
  <c r="S56" i="3"/>
  <c r="V56" i="3"/>
  <c r="W56" i="3"/>
  <c r="X56" i="3"/>
  <c r="Y56" i="3"/>
  <c r="Z56" i="3"/>
  <c r="AA56" i="3"/>
  <c r="AB56" i="3"/>
  <c r="AC56" i="3"/>
  <c r="AC57" i="3" s="1"/>
  <c r="AD56" i="3"/>
  <c r="AD57" i="3" s="1"/>
  <c r="AE56" i="3"/>
  <c r="AF56" i="3"/>
  <c r="H56" i="3"/>
  <c r="H87" i="3"/>
  <c r="I87" i="3"/>
  <c r="J87" i="3"/>
  <c r="L87" i="3"/>
  <c r="M87" i="3"/>
  <c r="O87" i="3"/>
  <c r="P87" i="3"/>
  <c r="Q87" i="3"/>
  <c r="R87" i="3"/>
  <c r="S87" i="3"/>
  <c r="U87" i="3"/>
  <c r="V87" i="3"/>
  <c r="W87" i="3"/>
  <c r="Y87" i="3"/>
  <c r="Z87" i="3"/>
  <c r="AA87" i="3"/>
  <c r="AB87" i="3"/>
  <c r="AC87" i="3"/>
  <c r="AD87" i="3"/>
  <c r="AE87" i="3"/>
  <c r="AF87" i="3"/>
  <c r="H88" i="3"/>
  <c r="J88" i="3"/>
  <c r="K88" i="3"/>
  <c r="L88" i="3"/>
  <c r="M88" i="3"/>
  <c r="O88" i="3"/>
  <c r="P88" i="3"/>
  <c r="Q88" i="3"/>
  <c r="R88" i="3"/>
  <c r="S88" i="3"/>
  <c r="U88" i="3"/>
  <c r="V88" i="3"/>
  <c r="W88" i="3"/>
  <c r="X88" i="3"/>
  <c r="Y88" i="3"/>
  <c r="Z88" i="3"/>
  <c r="AA88" i="3"/>
  <c r="AB88" i="3"/>
  <c r="AC88" i="3"/>
  <c r="AD88" i="3"/>
  <c r="AE88" i="3"/>
  <c r="AF88" i="3"/>
  <c r="H83" i="3"/>
  <c r="J83" i="3"/>
  <c r="L83" i="3"/>
  <c r="N83" i="3"/>
  <c r="O83" i="3"/>
  <c r="P83" i="3"/>
  <c r="Q83" i="3"/>
  <c r="V83" i="3"/>
  <c r="W83" i="3"/>
  <c r="X83" i="3"/>
  <c r="Y83" i="3"/>
  <c r="Z83" i="3"/>
  <c r="AB83" i="3"/>
  <c r="AC83" i="3"/>
  <c r="AD83" i="3"/>
  <c r="AE83" i="3"/>
  <c r="AF83" i="3"/>
  <c r="H84" i="3"/>
  <c r="I84" i="3"/>
  <c r="J84" i="3"/>
  <c r="K84" i="3"/>
  <c r="L84" i="3"/>
  <c r="M84" i="3"/>
  <c r="N84" i="3"/>
  <c r="O84" i="3"/>
  <c r="P84" i="3"/>
  <c r="Q84" i="3"/>
  <c r="R84" i="3"/>
  <c r="S84" i="3"/>
  <c r="U84" i="3"/>
  <c r="V84" i="3"/>
  <c r="W84" i="3"/>
  <c r="X84" i="3"/>
  <c r="Y84" i="3"/>
  <c r="Z84" i="3"/>
  <c r="AA84" i="3"/>
  <c r="AB84" i="3"/>
  <c r="AC84" i="3"/>
  <c r="AD84" i="3"/>
  <c r="AE84" i="3"/>
  <c r="AF84" i="3"/>
  <c r="H68" i="3"/>
  <c r="I68" i="3"/>
  <c r="J68" i="3"/>
  <c r="K68" i="3"/>
  <c r="L68" i="3"/>
  <c r="M68" i="3"/>
  <c r="N68" i="3"/>
  <c r="O68" i="3"/>
  <c r="P68" i="3"/>
  <c r="Q68" i="3"/>
  <c r="S68" i="3"/>
  <c r="U68" i="3"/>
  <c r="V68" i="3"/>
  <c r="W68" i="3"/>
  <c r="X68" i="3"/>
  <c r="Y68" i="3"/>
  <c r="Z68" i="3"/>
  <c r="AA68" i="3"/>
  <c r="AB68" i="3"/>
  <c r="AC68" i="3"/>
  <c r="AD68" i="3"/>
  <c r="AE68" i="3"/>
  <c r="AF68" i="3"/>
  <c r="H69" i="3"/>
  <c r="I69" i="3"/>
  <c r="J69" i="3"/>
  <c r="K69" i="3"/>
  <c r="M69" i="3"/>
  <c r="N69" i="3"/>
  <c r="O69" i="3"/>
  <c r="P69" i="3"/>
  <c r="Q69" i="3"/>
  <c r="R69" i="3"/>
  <c r="S69" i="3"/>
  <c r="U69" i="3"/>
  <c r="V69" i="3"/>
  <c r="W69" i="3"/>
  <c r="X69" i="3"/>
  <c r="Y69" i="3"/>
  <c r="Z69" i="3"/>
  <c r="AA69" i="3"/>
  <c r="AB69" i="3"/>
  <c r="AC69" i="3"/>
  <c r="AD69" i="3"/>
  <c r="AE69" i="3"/>
  <c r="AF69" i="3"/>
  <c r="G68" i="3"/>
  <c r="C12" i="2"/>
  <c r="P14" i="2"/>
  <c r="E170" i="2"/>
  <c r="E169" i="2"/>
  <c r="E168" i="2"/>
  <c r="C167" i="2"/>
  <c r="C166" i="2"/>
  <c r="B166" i="2"/>
  <c r="E166" i="2" s="1"/>
  <c r="C162" i="2"/>
  <c r="B154" i="2"/>
  <c r="C153" i="2"/>
  <c r="C154" i="2" s="1"/>
  <c r="E151" i="2"/>
  <c r="C151" i="2"/>
  <c r="C150" i="2"/>
  <c r="E149" i="2"/>
  <c r="C149" i="2"/>
  <c r="F149" i="2" s="1"/>
  <c r="G149" i="2" s="1"/>
  <c r="C143" i="2"/>
  <c r="B143" i="2"/>
  <c r="E143" i="2" s="1"/>
  <c r="C133" i="2"/>
  <c r="B133" i="2"/>
  <c r="E133" i="2" s="1"/>
  <c r="E128" i="2"/>
  <c r="F128" i="2" s="1"/>
  <c r="G128" i="2" s="1"/>
  <c r="E127" i="2"/>
  <c r="F127" i="2" s="1"/>
  <c r="G127" i="2" s="1"/>
  <c r="I126" i="2"/>
  <c r="C126" i="2"/>
  <c r="B126" i="2"/>
  <c r="E126" i="2" s="1"/>
  <c r="B122" i="2"/>
  <c r="E122" i="2" s="1"/>
  <c r="C120" i="2"/>
  <c r="C122" i="2" s="1"/>
  <c r="F122" i="2" s="1"/>
  <c r="G122" i="2" s="1"/>
  <c r="B115" i="2"/>
  <c r="E115" i="2" s="1"/>
  <c r="C112" i="2"/>
  <c r="C115" i="2" s="1"/>
  <c r="F115" i="2" s="1"/>
  <c r="G115" i="2" s="1"/>
  <c r="B110" i="2"/>
  <c r="F109" i="2"/>
  <c r="G109" i="2" s="1"/>
  <c r="E108" i="2"/>
  <c r="F108" i="2" s="1"/>
  <c r="G108" i="2" s="1"/>
  <c r="E107" i="2"/>
  <c r="C107" i="2"/>
  <c r="F107" i="2" s="1"/>
  <c r="G107" i="2" s="1"/>
  <c r="E106" i="2"/>
  <c r="C106" i="2"/>
  <c r="C104" i="2"/>
  <c r="B104" i="2"/>
  <c r="E104" i="2" s="1"/>
  <c r="E101" i="2"/>
  <c r="F101" i="2" s="1"/>
  <c r="G101" i="2" s="1"/>
  <c r="C100" i="2"/>
  <c r="B100" i="2"/>
  <c r="E100" i="2" s="1"/>
  <c r="C95" i="2"/>
  <c r="B95" i="2"/>
  <c r="E95" i="2" s="1"/>
  <c r="E91" i="2"/>
  <c r="F91" i="2" s="1"/>
  <c r="G91" i="2" s="1"/>
  <c r="C90" i="2"/>
  <c r="B90" i="2"/>
  <c r="E90" i="2" s="1"/>
  <c r="E89" i="2"/>
  <c r="E88" i="2"/>
  <c r="B86" i="2"/>
  <c r="E86" i="2" s="1"/>
  <c r="E85" i="2"/>
  <c r="E84" i="2"/>
  <c r="C84" i="2"/>
  <c r="C86" i="2" s="1"/>
  <c r="F86" i="2" s="1"/>
  <c r="G86" i="2" s="1"/>
  <c r="B82" i="2"/>
  <c r="E82" i="2" s="1"/>
  <c r="E80" i="2"/>
  <c r="C80" i="2"/>
  <c r="E79" i="2"/>
  <c r="C79" i="2"/>
  <c r="E78" i="2"/>
  <c r="C78" i="2"/>
  <c r="E77" i="2"/>
  <c r="C77" i="2"/>
  <c r="E76" i="2"/>
  <c r="C76" i="2"/>
  <c r="E75" i="2"/>
  <c r="C75" i="2"/>
  <c r="E74" i="2"/>
  <c r="C74" i="2"/>
  <c r="E73" i="2"/>
  <c r="C73" i="2"/>
  <c r="C82" i="2" s="1"/>
  <c r="F82" i="2" s="1"/>
  <c r="G82" i="2" s="1"/>
  <c r="C71" i="2"/>
  <c r="B71" i="2"/>
  <c r="E71" i="2" s="1"/>
  <c r="C67" i="2"/>
  <c r="B67" i="2"/>
  <c r="E67" i="2" s="1"/>
  <c r="E66" i="2"/>
  <c r="E65" i="2"/>
  <c r="E64" i="2"/>
  <c r="K63" i="2"/>
  <c r="C62" i="2"/>
  <c r="B62" i="2"/>
  <c r="E62" i="2" s="1"/>
  <c r="I60" i="2"/>
  <c r="I59" i="2"/>
  <c r="L61" i="2" s="1"/>
  <c r="B58" i="2"/>
  <c r="E58" i="2" s="1"/>
  <c r="C57" i="2"/>
  <c r="C58" i="2" s="1"/>
  <c r="F58" i="2" s="1"/>
  <c r="G58" i="2" s="1"/>
  <c r="B55" i="2"/>
  <c r="E54" i="2"/>
  <c r="F54" i="2" s="1"/>
  <c r="G54" i="2" s="1"/>
  <c r="E53" i="2"/>
  <c r="F53" i="2" s="1"/>
  <c r="E52" i="2"/>
  <c r="C52" i="2"/>
  <c r="F52" i="2" s="1"/>
  <c r="G52" i="2" s="1"/>
  <c r="E51" i="2"/>
  <c r="C51" i="2"/>
  <c r="F51" i="2" s="1"/>
  <c r="G51" i="2" s="1"/>
  <c r="E50" i="2"/>
  <c r="F50" i="2" s="1"/>
  <c r="G50" i="2" s="1"/>
  <c r="E49" i="2"/>
  <c r="C49" i="2"/>
  <c r="F49" i="2" s="1"/>
  <c r="G49" i="2" s="1"/>
  <c r="E48" i="2"/>
  <c r="C48" i="2"/>
  <c r="F48" i="2" s="1"/>
  <c r="G48" i="2" s="1"/>
  <c r="E47" i="2"/>
  <c r="C47" i="2"/>
  <c r="F47" i="2" s="1"/>
  <c r="G47" i="2" s="1"/>
  <c r="E46" i="2"/>
  <c r="E55" i="2" s="1"/>
  <c r="C46" i="2"/>
  <c r="K45" i="2"/>
  <c r="L45" i="2" s="1"/>
  <c r="K44" i="2"/>
  <c r="I44" i="2"/>
  <c r="C44" i="2"/>
  <c r="B44" i="2"/>
  <c r="E42" i="2"/>
  <c r="E44" i="2" s="1"/>
  <c r="K41" i="2"/>
  <c r="L41" i="2" s="1"/>
  <c r="K40" i="2"/>
  <c r="I40" i="2"/>
  <c r="E40" i="2"/>
  <c r="B40" i="2"/>
  <c r="C39" i="2"/>
  <c r="C40" i="2" s="1"/>
  <c r="I32" i="2"/>
  <c r="C32" i="2"/>
  <c r="B32" i="2"/>
  <c r="E32" i="2" s="1"/>
  <c r="E31" i="2"/>
  <c r="F31" i="2" s="1"/>
  <c r="G31" i="2" s="1"/>
  <c r="E30" i="2"/>
  <c r="F30" i="2" s="1"/>
  <c r="G30" i="2" s="1"/>
  <c r="I28" i="2"/>
  <c r="C28" i="2"/>
  <c r="B28" i="2"/>
  <c r="E28" i="2" s="1"/>
  <c r="E27" i="2"/>
  <c r="F27" i="2" s="1"/>
  <c r="G27" i="2" s="1"/>
  <c r="E26" i="2"/>
  <c r="F26" i="2" s="1"/>
  <c r="G26" i="2" s="1"/>
  <c r="E25" i="2"/>
  <c r="F25" i="2" s="1"/>
  <c r="G25" i="2" s="1"/>
  <c r="I22" i="2"/>
  <c r="C22" i="2"/>
  <c r="B22" i="2"/>
  <c r="E22" i="2" s="1"/>
  <c r="E20" i="2"/>
  <c r="F20" i="2" s="1"/>
  <c r="G20" i="2" s="1"/>
  <c r="F19" i="2"/>
  <c r="G19" i="2" s="1"/>
  <c r="I17" i="2"/>
  <c r="B17" i="2"/>
  <c r="E16" i="2"/>
  <c r="F16" i="2" s="1"/>
  <c r="G16" i="2" s="1"/>
  <c r="E15" i="2"/>
  <c r="F15" i="2" s="1"/>
  <c r="G15" i="2" s="1"/>
  <c r="O14" i="2"/>
  <c r="E14" i="2"/>
  <c r="C14" i="2"/>
  <c r="F14" i="2" s="1"/>
  <c r="G14" i="2" s="1"/>
  <c r="L12" i="2"/>
  <c r="L14" i="2" s="1"/>
  <c r="N10" i="2"/>
  <c r="N14" i="2" s="1"/>
  <c r="C13" i="2" s="1"/>
  <c r="F13" i="2" s="1"/>
  <c r="G13" i="2" s="1"/>
  <c r="AD18" i="3"/>
  <c r="AD24" i="3" s="1"/>
  <c r="AD159" i="3" s="1"/>
  <c r="AC18" i="3"/>
  <c r="AC24" i="3" s="1"/>
  <c r="AC159" i="3" s="1"/>
  <c r="C34" i="5"/>
  <c r="J76" i="4"/>
  <c r="J75" i="4"/>
  <c r="G187" i="3"/>
  <c r="G188" i="3"/>
  <c r="G186" i="3"/>
  <c r="AQ13" i="3"/>
  <c r="B146" i="3"/>
  <c r="C139" i="3" l="1"/>
  <c r="C128" i="3"/>
  <c r="C30" i="3"/>
  <c r="C130" i="3"/>
  <c r="C129" i="3"/>
  <c r="C31" i="3"/>
  <c r="C106" i="3"/>
  <c r="C68" i="3"/>
  <c r="C56" i="3"/>
  <c r="C153" i="3"/>
  <c r="C20" i="3"/>
  <c r="C38" i="3"/>
  <c r="C116" i="3"/>
  <c r="C22" i="3"/>
  <c r="C136" i="3"/>
  <c r="C135" i="3"/>
  <c r="C90" i="3"/>
  <c r="C119" i="3"/>
  <c r="C134" i="3"/>
  <c r="C138" i="3"/>
  <c r="C150" i="3"/>
  <c r="C148" i="3"/>
  <c r="C69" i="3"/>
  <c r="C156" i="3"/>
  <c r="C26" i="3"/>
  <c r="C88" i="3"/>
  <c r="C137" i="3"/>
  <c r="C21" i="3"/>
  <c r="C118" i="3"/>
  <c r="C151" i="3"/>
  <c r="C126" i="3"/>
  <c r="C83" i="3"/>
  <c r="C117" i="3"/>
  <c r="C111" i="3"/>
  <c r="C27" i="3"/>
  <c r="C154" i="3"/>
  <c r="C84" i="3"/>
  <c r="C149" i="3"/>
  <c r="C96" i="3"/>
  <c r="C87" i="3"/>
  <c r="C147" i="3"/>
  <c r="BM147" i="3" s="1"/>
  <c r="C105" i="3"/>
  <c r="T23" i="3"/>
  <c r="AM70" i="3"/>
  <c r="T28" i="3"/>
  <c r="AD28" i="3"/>
  <c r="AK70" i="3"/>
  <c r="C157" i="3"/>
  <c r="AG28" i="3"/>
  <c r="AM131" i="3"/>
  <c r="AH131" i="3"/>
  <c r="AN120" i="3"/>
  <c r="AO89" i="3"/>
  <c r="AJ85" i="3"/>
  <c r="AN89" i="3"/>
  <c r="C70" i="3"/>
  <c r="C57" i="3"/>
  <c r="B20" i="3"/>
  <c r="B22" i="3"/>
  <c r="B21" i="3"/>
  <c r="B26" i="3"/>
  <c r="B27" i="3"/>
  <c r="B30" i="3"/>
  <c r="B31" i="3"/>
  <c r="BM140" i="3"/>
  <c r="BM142" i="3"/>
  <c r="BM144" i="3"/>
  <c r="L89" i="4"/>
  <c r="M89" i="4"/>
  <c r="O89" i="4"/>
  <c r="B90" i="3"/>
  <c r="AC85" i="3"/>
  <c r="AO28" i="3"/>
  <c r="AN28" i="3"/>
  <c r="AO32" i="3"/>
  <c r="AN32" i="3"/>
  <c r="AM32" i="3"/>
  <c r="AL32" i="3"/>
  <c r="AI32" i="3"/>
  <c r="AG32" i="3"/>
  <c r="AJ70" i="3"/>
  <c r="AG85" i="3"/>
  <c r="AL89" i="3"/>
  <c r="AK89" i="3"/>
  <c r="AO109" i="3"/>
  <c r="AM120" i="3"/>
  <c r="AJ120" i="3"/>
  <c r="AV131" i="3"/>
  <c r="AL146" i="3"/>
  <c r="AN158" i="3"/>
  <c r="AO158" i="3"/>
  <c r="AL158" i="3"/>
  <c r="BM43" i="3"/>
  <c r="AN85" i="3"/>
  <c r="AK120" i="3"/>
  <c r="AO94" i="3"/>
  <c r="AM23" i="3"/>
  <c r="AC28" i="3"/>
  <c r="T158" i="3"/>
  <c r="AD85" i="3"/>
  <c r="AC89" i="3"/>
  <c r="AD23" i="3"/>
  <c r="AD32" i="3"/>
  <c r="AC32" i="3"/>
  <c r="AH28" i="3"/>
  <c r="AM146" i="3"/>
  <c r="AM85" i="3"/>
  <c r="AD146" i="3"/>
  <c r="AH70" i="3"/>
  <c r="AJ131" i="3"/>
  <c r="AN23" i="3"/>
  <c r="AN33" i="3" s="1"/>
  <c r="AN34" i="3" s="1"/>
  <c r="AM18" i="3"/>
  <c r="AI120" i="3"/>
  <c r="AL120" i="3"/>
  <c r="AM158" i="3"/>
  <c r="AG131" i="3"/>
  <c r="AM89" i="3"/>
  <c r="AJ158" i="3"/>
  <c r="AH23" i="3"/>
  <c r="AN146" i="3"/>
  <c r="AL28" i="3"/>
  <c r="AJ32" i="3"/>
  <c r="AD70" i="3"/>
  <c r="AC70" i="3"/>
  <c r="AO18" i="3"/>
  <c r="AI70" i="3"/>
  <c r="AL131" i="3"/>
  <c r="AK131" i="3"/>
  <c r="AG23" i="3"/>
  <c r="AG33" i="3" s="1"/>
  <c r="AG34" i="3" s="1"/>
  <c r="AC146" i="3"/>
  <c r="AJ23" i="3"/>
  <c r="AG70" i="3"/>
  <c r="AI131" i="3"/>
  <c r="AK146" i="3"/>
  <c r="AI23" i="3"/>
  <c r="AG146" i="3"/>
  <c r="AK23" i="3"/>
  <c r="AO120" i="3"/>
  <c r="AC120" i="3"/>
  <c r="AD131" i="3"/>
  <c r="AK85" i="3"/>
  <c r="AC131" i="3"/>
  <c r="AD120" i="3"/>
  <c r="AD89" i="3"/>
  <c r="AK28" i="3"/>
  <c r="AO66" i="3"/>
  <c r="AO70" i="3"/>
  <c r="AJ89" i="3"/>
  <c r="AH120" i="3"/>
  <c r="AG120" i="3"/>
  <c r="AI146" i="3"/>
  <c r="AI158" i="3"/>
  <c r="AJ28" i="3"/>
  <c r="AN70" i="3"/>
  <c r="AH146" i="3"/>
  <c r="AG158" i="3"/>
  <c r="AH158" i="3"/>
  <c r="AL23" i="3"/>
  <c r="AH18" i="3"/>
  <c r="T32" i="3"/>
  <c r="AI28" i="3"/>
  <c r="AO131" i="3"/>
  <c r="AL70" i="3"/>
  <c r="AH85" i="3"/>
  <c r="AG89" i="3"/>
  <c r="AJ146" i="3"/>
  <c r="AK158" i="3"/>
  <c r="J77" i="4"/>
  <c r="AI18" i="3"/>
  <c r="AO23" i="3"/>
  <c r="AJ18" i="3"/>
  <c r="AK18" i="3"/>
  <c r="AL18" i="3"/>
  <c r="B33" i="2"/>
  <c r="B34" i="2" s="1"/>
  <c r="E34" i="2" s="1"/>
  <c r="E17" i="2"/>
  <c r="E33" i="2" s="1"/>
  <c r="F22" i="2"/>
  <c r="G22" i="2" s="1"/>
  <c r="F28" i="2"/>
  <c r="G28" i="2" s="1"/>
  <c r="F32" i="2"/>
  <c r="G32" i="2" s="1"/>
  <c r="F40" i="2"/>
  <c r="G40" i="2" s="1"/>
  <c r="F44" i="2"/>
  <c r="G44" i="2" s="1"/>
  <c r="C55" i="2"/>
  <c r="F46" i="2"/>
  <c r="G46" i="2" s="1"/>
  <c r="F62" i="2"/>
  <c r="G62" i="2" s="1"/>
  <c r="F67" i="2"/>
  <c r="G67" i="2" s="1"/>
  <c r="F71" i="2"/>
  <c r="G71" i="2" s="1"/>
  <c r="F90" i="2"/>
  <c r="G90" i="2" s="1"/>
  <c r="F95" i="2"/>
  <c r="G95" i="2" s="1"/>
  <c r="F100" i="2"/>
  <c r="G100" i="2" s="1"/>
  <c r="F104" i="2"/>
  <c r="G104" i="2" s="1"/>
  <c r="C110" i="2"/>
  <c r="F106" i="2"/>
  <c r="G106" i="2" s="1"/>
  <c r="F126" i="2"/>
  <c r="G126" i="2" s="1"/>
  <c r="F133" i="2"/>
  <c r="G133" i="2" s="1"/>
  <c r="F143" i="2"/>
  <c r="G143" i="2" s="1"/>
  <c r="C155" i="2"/>
  <c r="F151" i="2"/>
  <c r="G151" i="2" s="1"/>
  <c r="B155" i="2"/>
  <c r="E155" i="2" s="1"/>
  <c r="E154" i="2"/>
  <c r="F154" i="2" s="1"/>
  <c r="G154" i="2" s="1"/>
  <c r="F166" i="2"/>
  <c r="G166" i="2" s="1"/>
  <c r="AC23" i="3"/>
  <c r="AD158" i="3"/>
  <c r="AC158" i="3"/>
  <c r="BF14" i="3"/>
  <c r="C120" i="3" l="1"/>
  <c r="C89" i="3"/>
  <c r="AM33" i="3"/>
  <c r="AM34" i="3" s="1"/>
  <c r="AD33" i="3"/>
  <c r="AD34" i="3" s="1"/>
  <c r="C158" i="3"/>
  <c r="C32" i="3"/>
  <c r="C28" i="3"/>
  <c r="C23" i="3"/>
  <c r="C131" i="3"/>
  <c r="C85" i="3"/>
  <c r="AO133" i="3"/>
  <c r="AH33" i="3"/>
  <c r="AH34" i="3" s="1"/>
  <c r="AC33" i="3"/>
  <c r="AC34" i="3" s="1"/>
  <c r="AI33" i="3"/>
  <c r="AI34" i="3" s="1"/>
  <c r="AL33" i="3"/>
  <c r="AL34" i="3" s="1"/>
  <c r="AK33" i="3"/>
  <c r="AK34" i="3" s="1"/>
  <c r="AJ33" i="3"/>
  <c r="AJ34" i="3" s="1"/>
  <c r="AO33" i="3"/>
  <c r="AO34" i="3" s="1"/>
  <c r="F155" i="2"/>
  <c r="G155" i="2" s="1"/>
  <c r="F55" i="2"/>
  <c r="G55" i="2" s="1"/>
  <c r="C168" i="2"/>
  <c r="F168" i="2" s="1"/>
  <c r="G168" i="2" s="1"/>
  <c r="AO146" i="3" l="1"/>
  <c r="B38" i="3"/>
  <c r="H13" i="3" l="1"/>
  <c r="B74" i="5"/>
  <c r="C74" i="5"/>
  <c r="B74" i="6"/>
  <c r="D74" i="6"/>
  <c r="J70" i="4"/>
  <c r="O70" i="4" s="1"/>
  <c r="J55" i="4"/>
  <c r="H70" i="4" l="1"/>
  <c r="P70" i="4"/>
  <c r="Q70" i="4" l="1"/>
  <c r="R70" i="4"/>
  <c r="S70" i="4" l="1"/>
  <c r="T70" i="4" l="1"/>
  <c r="G74" i="6" s="1"/>
  <c r="AY74" i="6" s="1"/>
  <c r="AV74" i="6" l="1"/>
  <c r="AU74" i="6"/>
  <c r="L74" i="6"/>
  <c r="AS74" i="6"/>
  <c r="AT74" i="6"/>
  <c r="AW74" i="6"/>
  <c r="AQ74" i="6"/>
  <c r="AX74" i="6"/>
  <c r="AR74" i="6"/>
  <c r="AP74" i="6"/>
  <c r="AO74" i="6"/>
  <c r="AD74" i="6"/>
  <c r="AE74" i="6"/>
  <c r="AK74" i="6"/>
  <c r="N74" i="6"/>
  <c r="M74" i="6"/>
  <c r="J74" i="6"/>
  <c r="I74" i="6"/>
  <c r="H74" i="6"/>
  <c r="AC74" i="6"/>
  <c r="P74" i="6"/>
  <c r="AH74" i="6"/>
  <c r="X74" i="6"/>
  <c r="AB74" i="6"/>
  <c r="AN74" i="6"/>
  <c r="T74" i="6"/>
  <c r="AJ74" i="6"/>
  <c r="S74" i="6"/>
  <c r="R74" i="6"/>
  <c r="Q74" i="6"/>
  <c r="AF74" i="6"/>
  <c r="W74" i="6"/>
  <c r="AA74" i="6"/>
  <c r="AM74" i="6"/>
  <c r="O74" i="6"/>
  <c r="AI74" i="6"/>
  <c r="K74" i="6"/>
  <c r="AG74" i="6"/>
  <c r="V74" i="6"/>
  <c r="Z74" i="6"/>
  <c r="AL74" i="6"/>
  <c r="U74" i="6"/>
  <c r="Y74" i="6"/>
  <c r="I52" i="4"/>
  <c r="B56" i="5"/>
  <c r="C56" i="5"/>
  <c r="B57" i="5"/>
  <c r="C57" i="5"/>
  <c r="B56" i="6"/>
  <c r="D56" i="6"/>
  <c r="AZ74" i="6" l="1"/>
  <c r="BA74" i="6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6" i="5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6" i="6"/>
  <c r="I43" i="4"/>
  <c r="J64" i="4"/>
  <c r="J10" i="4"/>
  <c r="H10" i="4" s="1"/>
  <c r="I9" i="4"/>
  <c r="I71" i="4" s="1"/>
  <c r="O10" i="4" l="1"/>
  <c r="P10" i="4" s="1"/>
  <c r="Q10" i="4" s="1"/>
  <c r="S10" i="4" l="1"/>
  <c r="T10" i="4" s="1"/>
  <c r="G14" i="6" s="1"/>
  <c r="AY14" i="6" s="1"/>
  <c r="R10" i="4"/>
  <c r="AS14" i="6" l="1"/>
  <c r="AO14" i="6"/>
  <c r="AW14" i="6"/>
  <c r="AP14" i="6"/>
  <c r="AX14" i="6"/>
  <c r="AV14" i="6"/>
  <c r="AU14" i="6"/>
  <c r="AQ14" i="6"/>
  <c r="AT14" i="6"/>
  <c r="AR14" i="6"/>
  <c r="AD14" i="6"/>
  <c r="AE14" i="6"/>
  <c r="AF14" i="6"/>
  <c r="AH14" i="6"/>
  <c r="W14" i="6"/>
  <c r="AL14" i="6"/>
  <c r="H14" i="6"/>
  <c r="Z14" i="6"/>
  <c r="V14" i="6"/>
  <c r="P14" i="6"/>
  <c r="O14" i="6"/>
  <c r="AM14" i="6"/>
  <c r="N14" i="6"/>
  <c r="R14" i="6"/>
  <c r="AI14" i="6"/>
  <c r="AN14" i="6"/>
  <c r="AG14" i="6"/>
  <c r="X14" i="6"/>
  <c r="Y14" i="6"/>
  <c r="AK14" i="6"/>
  <c r="AC14" i="6"/>
  <c r="AJ14" i="6"/>
  <c r="M14" i="6"/>
  <c r="U14" i="6"/>
  <c r="AA14" i="6"/>
  <c r="K14" i="6"/>
  <c r="Q14" i="6"/>
  <c r="AB14" i="6"/>
  <c r="T14" i="6"/>
  <c r="L14" i="6"/>
  <c r="S14" i="6"/>
  <c r="J14" i="6"/>
  <c r="I14" i="6"/>
  <c r="AZ14" i="6" l="1"/>
  <c r="BA14" i="6"/>
  <c r="BM167" i="3"/>
  <c r="BM168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E169" i="3"/>
  <c r="AF169" i="3"/>
  <c r="AP169" i="3"/>
  <c r="AQ169" i="3"/>
  <c r="AR169" i="3"/>
  <c r="AS169" i="3"/>
  <c r="AT169" i="3"/>
  <c r="AU169" i="3"/>
  <c r="AV169" i="3"/>
  <c r="AY169" i="3"/>
  <c r="AY50" i="3" s="1"/>
  <c r="AZ169" i="3"/>
  <c r="AZ50" i="3" s="1"/>
  <c r="BA169" i="3"/>
  <c r="BA50" i="3" s="1"/>
  <c r="BB169" i="3"/>
  <c r="BB50" i="3" s="1"/>
  <c r="BC169" i="3"/>
  <c r="BC50" i="3" s="1"/>
  <c r="BD169" i="3"/>
  <c r="BD50" i="3" s="1"/>
  <c r="BE169" i="3"/>
  <c r="BE50" i="3" s="1"/>
  <c r="BF169" i="3"/>
  <c r="BF50" i="3" s="1"/>
  <c r="BG169" i="3"/>
  <c r="BG50" i="3" s="1"/>
  <c r="BH169" i="3"/>
  <c r="BH50" i="3" s="1"/>
  <c r="BI169" i="3"/>
  <c r="BI50" i="3" s="1"/>
  <c r="BJ169" i="3"/>
  <c r="BJ50" i="3" s="1"/>
  <c r="BK169" i="3"/>
  <c r="BK50" i="3" s="1"/>
  <c r="BL169" i="3"/>
  <c r="BL50" i="3" s="1"/>
  <c r="G169" i="3"/>
  <c r="BM290" i="3"/>
  <c r="BM287" i="3"/>
  <c r="BM288" i="3"/>
  <c r="BM289" i="3"/>
  <c r="BM286" i="3"/>
  <c r="I271" i="3"/>
  <c r="J271" i="3"/>
  <c r="K271" i="3"/>
  <c r="L271" i="3"/>
  <c r="M271" i="3"/>
  <c r="N271" i="3"/>
  <c r="O271" i="3"/>
  <c r="P271" i="3"/>
  <c r="Q271" i="3"/>
  <c r="R271" i="3"/>
  <c r="S271" i="3"/>
  <c r="T271" i="3"/>
  <c r="U271" i="3"/>
  <c r="V271" i="3"/>
  <c r="W271" i="3"/>
  <c r="X271" i="3"/>
  <c r="Y271" i="3"/>
  <c r="Z271" i="3"/>
  <c r="AA271" i="3"/>
  <c r="AB271" i="3"/>
  <c r="AE271" i="3"/>
  <c r="AF271" i="3"/>
  <c r="AP271" i="3"/>
  <c r="AQ271" i="3"/>
  <c r="AR271" i="3"/>
  <c r="AS271" i="3"/>
  <c r="AT271" i="3"/>
  <c r="AU271" i="3"/>
  <c r="AV271" i="3"/>
  <c r="AY271" i="3"/>
  <c r="AZ271" i="3"/>
  <c r="BA271" i="3"/>
  <c r="BB271" i="3"/>
  <c r="BC271" i="3"/>
  <c r="BD271" i="3"/>
  <c r="BE271" i="3"/>
  <c r="BF271" i="3"/>
  <c r="BG271" i="3"/>
  <c r="BH271" i="3"/>
  <c r="BI271" i="3"/>
  <c r="BJ271" i="3"/>
  <c r="BK271" i="3"/>
  <c r="BL271" i="3"/>
  <c r="I272" i="3"/>
  <c r="J272" i="3"/>
  <c r="K272" i="3"/>
  <c r="L272" i="3"/>
  <c r="M272" i="3"/>
  <c r="N272" i="3"/>
  <c r="O272" i="3"/>
  <c r="P272" i="3"/>
  <c r="Q272" i="3"/>
  <c r="R272" i="3"/>
  <c r="S272" i="3"/>
  <c r="T272" i="3"/>
  <c r="U272" i="3"/>
  <c r="V272" i="3"/>
  <c r="W272" i="3"/>
  <c r="X272" i="3"/>
  <c r="Y272" i="3"/>
  <c r="Z272" i="3"/>
  <c r="AA272" i="3"/>
  <c r="AB272" i="3"/>
  <c r="AE272" i="3"/>
  <c r="AF272" i="3"/>
  <c r="AP272" i="3"/>
  <c r="AQ272" i="3"/>
  <c r="AR272" i="3"/>
  <c r="AS272" i="3"/>
  <c r="AT272" i="3"/>
  <c r="AU272" i="3"/>
  <c r="AV272" i="3"/>
  <c r="AY272" i="3"/>
  <c r="AZ272" i="3"/>
  <c r="BA272" i="3"/>
  <c r="BB272" i="3"/>
  <c r="BC272" i="3"/>
  <c r="BD272" i="3"/>
  <c r="BE272" i="3"/>
  <c r="BF272" i="3"/>
  <c r="BG272" i="3"/>
  <c r="BH272" i="3"/>
  <c r="BI272" i="3"/>
  <c r="BJ272" i="3"/>
  <c r="BK272" i="3"/>
  <c r="BL272" i="3"/>
  <c r="I273" i="3"/>
  <c r="J273" i="3"/>
  <c r="K273" i="3"/>
  <c r="L273" i="3"/>
  <c r="M273" i="3"/>
  <c r="N273" i="3"/>
  <c r="O273" i="3"/>
  <c r="P273" i="3"/>
  <c r="Q273" i="3"/>
  <c r="R273" i="3"/>
  <c r="S273" i="3"/>
  <c r="T273" i="3"/>
  <c r="U273" i="3"/>
  <c r="V273" i="3"/>
  <c r="W273" i="3"/>
  <c r="X273" i="3"/>
  <c r="Y273" i="3"/>
  <c r="Z273" i="3"/>
  <c r="AA273" i="3"/>
  <c r="AB273" i="3"/>
  <c r="AE273" i="3"/>
  <c r="AF273" i="3"/>
  <c r="AP273" i="3"/>
  <c r="AQ273" i="3"/>
  <c r="AR273" i="3"/>
  <c r="AS273" i="3"/>
  <c r="AT273" i="3"/>
  <c r="AU273" i="3"/>
  <c r="AV273" i="3"/>
  <c r="AY273" i="3"/>
  <c r="AZ273" i="3"/>
  <c r="BA273" i="3"/>
  <c r="BB273" i="3"/>
  <c r="BC273" i="3"/>
  <c r="BD273" i="3"/>
  <c r="BE273" i="3"/>
  <c r="BF273" i="3"/>
  <c r="BG273" i="3"/>
  <c r="BH273" i="3"/>
  <c r="BI273" i="3"/>
  <c r="BJ273" i="3"/>
  <c r="BK273" i="3"/>
  <c r="BL273" i="3"/>
  <c r="I274" i="3"/>
  <c r="J274" i="3"/>
  <c r="K274" i="3"/>
  <c r="L274" i="3"/>
  <c r="M274" i="3"/>
  <c r="N274" i="3"/>
  <c r="O274" i="3"/>
  <c r="P274" i="3"/>
  <c r="Q274" i="3"/>
  <c r="R274" i="3"/>
  <c r="S274" i="3"/>
  <c r="T274" i="3"/>
  <c r="U274" i="3"/>
  <c r="V274" i="3"/>
  <c r="W274" i="3"/>
  <c r="X274" i="3"/>
  <c r="Y274" i="3"/>
  <c r="Z274" i="3"/>
  <c r="AA274" i="3"/>
  <c r="AB274" i="3"/>
  <c r="AE274" i="3"/>
  <c r="AF274" i="3"/>
  <c r="AP274" i="3"/>
  <c r="AQ274" i="3"/>
  <c r="AR274" i="3"/>
  <c r="AS274" i="3"/>
  <c r="AT274" i="3"/>
  <c r="AU274" i="3"/>
  <c r="AV274" i="3"/>
  <c r="AY274" i="3"/>
  <c r="AZ274" i="3"/>
  <c r="BA274" i="3"/>
  <c r="BB274" i="3"/>
  <c r="BC274" i="3"/>
  <c r="BD274" i="3"/>
  <c r="BE274" i="3"/>
  <c r="BF274" i="3"/>
  <c r="BG274" i="3"/>
  <c r="BH274" i="3"/>
  <c r="BI274" i="3"/>
  <c r="BJ274" i="3"/>
  <c r="BK274" i="3"/>
  <c r="BL274" i="3"/>
  <c r="I275" i="3"/>
  <c r="J275" i="3"/>
  <c r="K275" i="3"/>
  <c r="L275" i="3"/>
  <c r="M275" i="3"/>
  <c r="N275" i="3"/>
  <c r="O275" i="3"/>
  <c r="P275" i="3"/>
  <c r="Q275" i="3"/>
  <c r="R275" i="3"/>
  <c r="S275" i="3"/>
  <c r="T275" i="3"/>
  <c r="U275" i="3"/>
  <c r="V275" i="3"/>
  <c r="W275" i="3"/>
  <c r="X275" i="3"/>
  <c r="Y275" i="3"/>
  <c r="Z275" i="3"/>
  <c r="AA275" i="3"/>
  <c r="AB275" i="3"/>
  <c r="AE275" i="3"/>
  <c r="AF275" i="3"/>
  <c r="AP275" i="3"/>
  <c r="AQ275" i="3"/>
  <c r="AR275" i="3"/>
  <c r="AS275" i="3"/>
  <c r="AT275" i="3"/>
  <c r="AU275" i="3"/>
  <c r="AV275" i="3"/>
  <c r="AY275" i="3"/>
  <c r="AZ275" i="3"/>
  <c r="BA275" i="3"/>
  <c r="BB275" i="3"/>
  <c r="BC275" i="3"/>
  <c r="BD275" i="3"/>
  <c r="BE275" i="3"/>
  <c r="BF275" i="3"/>
  <c r="BG275" i="3"/>
  <c r="BH275" i="3"/>
  <c r="BI275" i="3"/>
  <c r="BJ275" i="3"/>
  <c r="BK275" i="3"/>
  <c r="BL275" i="3"/>
  <c r="H271" i="3"/>
  <c r="H272" i="3"/>
  <c r="H273" i="3"/>
  <c r="H274" i="3"/>
  <c r="H275" i="3"/>
  <c r="G275" i="3"/>
  <c r="G274" i="3"/>
  <c r="G273" i="3"/>
  <c r="G272" i="3"/>
  <c r="G271" i="3"/>
  <c r="BM277" i="3"/>
  <c r="BQ139" i="1"/>
  <c r="BQ13" i="1"/>
  <c r="BM267" i="3"/>
  <c r="J56" i="4"/>
  <c r="H56" i="4" s="1"/>
  <c r="J53" i="4"/>
  <c r="H53" i="4" s="1"/>
  <c r="W54" i="4"/>
  <c r="J51" i="4"/>
  <c r="H51" i="4" s="1"/>
  <c r="J68" i="4"/>
  <c r="H68" i="4" s="1"/>
  <c r="J67" i="4"/>
  <c r="H67" i="4" s="1"/>
  <c r="J66" i="4"/>
  <c r="H66" i="4" s="1"/>
  <c r="J65" i="4"/>
  <c r="H65" i="4" s="1"/>
  <c r="H64" i="4"/>
  <c r="J63" i="4"/>
  <c r="H63" i="4" s="1"/>
  <c r="J62" i="4"/>
  <c r="H62" i="4" s="1"/>
  <c r="J61" i="4"/>
  <c r="H61" i="4" s="1"/>
  <c r="J60" i="4"/>
  <c r="H60" i="4" s="1"/>
  <c r="J59" i="4"/>
  <c r="H59" i="4" s="1"/>
  <c r="J58" i="4"/>
  <c r="H58" i="4" s="1"/>
  <c r="J57" i="4"/>
  <c r="H57" i="4" s="1"/>
  <c r="H55" i="4"/>
  <c r="J54" i="4"/>
  <c r="H54" i="4" s="1"/>
  <c r="J50" i="4"/>
  <c r="H50" i="4" s="1"/>
  <c r="J49" i="4"/>
  <c r="H49" i="4" s="1"/>
  <c r="J48" i="4"/>
  <c r="H48" i="4" s="1"/>
  <c r="J47" i="4"/>
  <c r="H47" i="4" s="1"/>
  <c r="J46" i="4"/>
  <c r="H46" i="4" s="1"/>
  <c r="J45" i="4"/>
  <c r="H45" i="4" s="1"/>
  <c r="J44" i="4"/>
  <c r="H44" i="4" s="1"/>
  <c r="J43" i="4"/>
  <c r="H43" i="4" s="1"/>
  <c r="J42" i="4"/>
  <c r="H42" i="4" s="1"/>
  <c r="J41" i="4"/>
  <c r="H41" i="4" s="1"/>
  <c r="J40" i="4"/>
  <c r="H40" i="4" s="1"/>
  <c r="J39" i="4"/>
  <c r="H39" i="4" s="1"/>
  <c r="J38" i="4"/>
  <c r="H38" i="4" s="1"/>
  <c r="J37" i="4"/>
  <c r="H37" i="4" s="1"/>
  <c r="J36" i="4"/>
  <c r="H36" i="4" s="1"/>
  <c r="J35" i="4"/>
  <c r="H35" i="4" s="1"/>
  <c r="J34" i="4"/>
  <c r="H34" i="4" s="1"/>
  <c r="J33" i="4"/>
  <c r="H33" i="4" s="1"/>
  <c r="J31" i="4"/>
  <c r="H31" i="4" s="1"/>
  <c r="J32" i="4"/>
  <c r="H32" i="4" s="1"/>
  <c r="J30" i="4"/>
  <c r="H30" i="4" s="1"/>
  <c r="J29" i="4"/>
  <c r="H29" i="4" s="1"/>
  <c r="J28" i="4"/>
  <c r="H28" i="4" s="1"/>
  <c r="J27" i="4"/>
  <c r="H27" i="4" s="1"/>
  <c r="J26" i="4"/>
  <c r="H26" i="4" s="1"/>
  <c r="J25" i="4"/>
  <c r="H25" i="4" s="1"/>
  <c r="J24" i="4"/>
  <c r="H24" i="4" s="1"/>
  <c r="J23" i="4"/>
  <c r="H23" i="4" s="1"/>
  <c r="J22" i="4"/>
  <c r="H22" i="4" s="1"/>
  <c r="J21" i="4"/>
  <c r="H21" i="4" s="1"/>
  <c r="J20" i="4"/>
  <c r="H20" i="4" s="1"/>
  <c r="J19" i="4"/>
  <c r="H19" i="4" s="1"/>
  <c r="J18" i="4"/>
  <c r="H18" i="4" s="1"/>
  <c r="J17" i="4"/>
  <c r="H17" i="4" s="1"/>
  <c r="J16" i="4"/>
  <c r="H16" i="4" s="1"/>
  <c r="J15" i="4"/>
  <c r="H15" i="4" s="1"/>
  <c r="J14" i="4"/>
  <c r="J13" i="4"/>
  <c r="H13" i="4" s="1"/>
  <c r="J12" i="4"/>
  <c r="H12" i="4" s="1"/>
  <c r="J11" i="4"/>
  <c r="H11" i="4" s="1"/>
  <c r="J3" i="4"/>
  <c r="H3" i="4" s="1"/>
  <c r="J4" i="4"/>
  <c r="J5" i="4"/>
  <c r="H5" i="4" s="1"/>
  <c r="J6" i="4"/>
  <c r="H6" i="4" s="1"/>
  <c r="J7" i="4"/>
  <c r="H7" i="4" s="1"/>
  <c r="J8" i="4"/>
  <c r="J9" i="4"/>
  <c r="H9" i="4" s="1"/>
  <c r="J2" i="4"/>
  <c r="J71" i="4" s="1"/>
  <c r="AE261" i="9"/>
  <c r="AE262" i="9" s="1"/>
  <c r="AE263" i="9" s="1"/>
  <c r="AE256" i="9"/>
  <c r="AE257" i="9" s="1"/>
  <c r="AE258" i="9" s="1"/>
  <c r="AE247" i="9"/>
  <c r="AE250" i="9" s="1"/>
  <c r="AE253" i="9" s="1"/>
  <c r="AE246" i="9"/>
  <c r="AE249" i="9" s="1"/>
  <c r="AE252" i="9" s="1"/>
  <c r="AE235" i="9"/>
  <c r="AE238" i="9" s="1"/>
  <c r="AE241" i="9" s="1"/>
  <c r="AE234" i="9"/>
  <c r="AE237" i="9" s="1"/>
  <c r="AE240" i="9" s="1"/>
  <c r="AE227" i="9"/>
  <c r="AE228" i="9" s="1"/>
  <c r="AE229" i="9" s="1"/>
  <c r="AE222" i="9"/>
  <c r="AE223" i="9" s="1"/>
  <c r="AE224" i="9" s="1"/>
  <c r="AE217" i="9"/>
  <c r="AE218" i="9" s="1"/>
  <c r="AE219" i="9" s="1"/>
  <c r="AE206" i="9"/>
  <c r="AE210" i="9" s="1"/>
  <c r="AE214" i="9" s="1"/>
  <c r="AE205" i="9"/>
  <c r="AE209" i="9" s="1"/>
  <c r="AE213" i="9" s="1"/>
  <c r="AE204" i="9"/>
  <c r="AE208" i="9" s="1"/>
  <c r="AE212" i="9" s="1"/>
  <c r="AE190" i="9"/>
  <c r="AE194" i="9" s="1"/>
  <c r="AE198" i="9" s="1"/>
  <c r="AE189" i="9"/>
  <c r="AE193" i="9" s="1"/>
  <c r="AE197" i="9" s="1"/>
  <c r="AE188" i="9"/>
  <c r="AE192" i="9" s="1"/>
  <c r="AE196" i="9" s="1"/>
  <c r="AE180" i="9"/>
  <c r="AE181" i="9" s="1"/>
  <c r="AE148" i="9"/>
  <c r="AE147" i="9"/>
  <c r="AE143" i="9"/>
  <c r="AE144" i="9" s="1"/>
  <c r="AE133" i="9"/>
  <c r="AE124" i="9"/>
  <c r="AE117" i="9"/>
  <c r="AE114" i="9"/>
  <c r="AE108" i="9"/>
  <c r="AE104" i="9"/>
  <c r="AE99" i="9"/>
  <c r="AE95" i="9"/>
  <c r="AE91" i="9"/>
  <c r="AE86" i="9"/>
  <c r="AE82" i="9"/>
  <c r="AE77" i="9"/>
  <c r="AE70" i="9"/>
  <c r="AE66" i="9"/>
  <c r="AE61" i="9"/>
  <c r="AE58" i="9"/>
  <c r="AE32" i="9"/>
  <c r="AE28" i="9"/>
  <c r="AE22" i="9"/>
  <c r="AE17" i="9"/>
  <c r="AE33" i="9" s="1"/>
  <c r="AE34" i="9" s="1"/>
  <c r="AE208" i="3"/>
  <c r="AE212" i="3" s="1"/>
  <c r="AE215" i="3" s="1"/>
  <c r="AE207" i="3"/>
  <c r="AE211" i="3" s="1"/>
  <c r="AE214" i="3" s="1"/>
  <c r="AE206" i="3"/>
  <c r="AE210" i="3" s="1"/>
  <c r="AE192" i="3"/>
  <c r="AE196" i="3" s="1"/>
  <c r="AE200" i="3" s="1"/>
  <c r="AE191" i="3"/>
  <c r="AE195" i="3" s="1"/>
  <c r="AE199" i="3" s="1"/>
  <c r="AE190" i="3"/>
  <c r="AE194" i="3" s="1"/>
  <c r="AE198" i="3" s="1"/>
  <c r="CA260" i="9"/>
  <c r="CA255" i="9"/>
  <c r="CA244" i="9"/>
  <c r="CA243" i="9"/>
  <c r="CA232" i="9"/>
  <c r="CA231" i="9"/>
  <c r="CA226" i="9"/>
  <c r="CA221" i="9"/>
  <c r="CA216" i="9"/>
  <c r="BZ206" i="9"/>
  <c r="BZ210" i="9" s="1"/>
  <c r="BZ214" i="9" s="1"/>
  <c r="BY206" i="9"/>
  <c r="BY210" i="9" s="1"/>
  <c r="BY214" i="9" s="1"/>
  <c r="BX206" i="9"/>
  <c r="BX210" i="9" s="1"/>
  <c r="BX214" i="9" s="1"/>
  <c r="BW206" i="9"/>
  <c r="BW210" i="9" s="1"/>
  <c r="BW214" i="9" s="1"/>
  <c r="BV206" i="9"/>
  <c r="BV210" i="9" s="1"/>
  <c r="BV214" i="9" s="1"/>
  <c r="BU206" i="9"/>
  <c r="BU210" i="9" s="1"/>
  <c r="BU214" i="9" s="1"/>
  <c r="BT206" i="9"/>
  <c r="BT210" i="9" s="1"/>
  <c r="BT214" i="9" s="1"/>
  <c r="BS206" i="9"/>
  <c r="BS210" i="9" s="1"/>
  <c r="BS214" i="9" s="1"/>
  <c r="BR206" i="9"/>
  <c r="BR210" i="9" s="1"/>
  <c r="BR214" i="9" s="1"/>
  <c r="BQ206" i="9"/>
  <c r="BQ210" i="9" s="1"/>
  <c r="BQ214" i="9" s="1"/>
  <c r="BP206" i="9"/>
  <c r="BP210" i="9" s="1"/>
  <c r="BP214" i="9" s="1"/>
  <c r="BO206" i="9"/>
  <c r="BO210" i="9" s="1"/>
  <c r="BO214" i="9" s="1"/>
  <c r="BN206" i="9"/>
  <c r="BN210" i="9" s="1"/>
  <c r="BN214" i="9" s="1"/>
  <c r="BM206" i="9"/>
  <c r="BM210" i="9" s="1"/>
  <c r="BM214" i="9" s="1"/>
  <c r="BL206" i="9"/>
  <c r="BL210" i="9" s="1"/>
  <c r="BL214" i="9" s="1"/>
  <c r="BK206" i="9"/>
  <c r="BK210" i="9" s="1"/>
  <c r="BK214" i="9" s="1"/>
  <c r="BJ206" i="9"/>
  <c r="BJ210" i="9" s="1"/>
  <c r="BJ214" i="9" s="1"/>
  <c r="BI206" i="9"/>
  <c r="BI210" i="9" s="1"/>
  <c r="BI214" i="9" s="1"/>
  <c r="BH206" i="9"/>
  <c r="BH210" i="9" s="1"/>
  <c r="BH214" i="9" s="1"/>
  <c r="BG206" i="9"/>
  <c r="BG210" i="9" s="1"/>
  <c r="BG214" i="9" s="1"/>
  <c r="BF206" i="9"/>
  <c r="BF210" i="9" s="1"/>
  <c r="BF214" i="9" s="1"/>
  <c r="BE206" i="9"/>
  <c r="BE210" i="9" s="1"/>
  <c r="BE214" i="9" s="1"/>
  <c r="BD206" i="9"/>
  <c r="BD210" i="9" s="1"/>
  <c r="BD214" i="9" s="1"/>
  <c r="BC206" i="9"/>
  <c r="BC210" i="9" s="1"/>
  <c r="BC214" i="9" s="1"/>
  <c r="BB206" i="9"/>
  <c r="BB210" i="9" s="1"/>
  <c r="BB214" i="9" s="1"/>
  <c r="BA206" i="9"/>
  <c r="BA210" i="9" s="1"/>
  <c r="BA214" i="9" s="1"/>
  <c r="AZ206" i="9"/>
  <c r="AZ210" i="9" s="1"/>
  <c r="AZ214" i="9" s="1"/>
  <c r="AY206" i="9"/>
  <c r="AY210" i="9" s="1"/>
  <c r="AY214" i="9" s="1"/>
  <c r="AX206" i="9"/>
  <c r="AX210" i="9" s="1"/>
  <c r="AX214" i="9" s="1"/>
  <c r="AW206" i="9"/>
  <c r="AW210" i="9" s="1"/>
  <c r="AW214" i="9" s="1"/>
  <c r="AV206" i="9"/>
  <c r="AV210" i="9" s="1"/>
  <c r="AV214" i="9" s="1"/>
  <c r="AU206" i="9"/>
  <c r="AU210" i="9" s="1"/>
  <c r="AU214" i="9" s="1"/>
  <c r="AT206" i="9"/>
  <c r="AT210" i="9" s="1"/>
  <c r="AT214" i="9" s="1"/>
  <c r="AS206" i="9"/>
  <c r="AS210" i="9" s="1"/>
  <c r="AS214" i="9" s="1"/>
  <c r="AR206" i="9"/>
  <c r="AR210" i="9" s="1"/>
  <c r="AR214" i="9" s="1"/>
  <c r="AQ206" i="9"/>
  <c r="AQ210" i="9" s="1"/>
  <c r="AQ214" i="9" s="1"/>
  <c r="AP206" i="9"/>
  <c r="AP210" i="9" s="1"/>
  <c r="AP214" i="9" s="1"/>
  <c r="AO206" i="9"/>
  <c r="AO210" i="9" s="1"/>
  <c r="AO214" i="9" s="1"/>
  <c r="AN206" i="9"/>
  <c r="AN210" i="9" s="1"/>
  <c r="AN214" i="9" s="1"/>
  <c r="AM206" i="9"/>
  <c r="AM210" i="9" s="1"/>
  <c r="AM214" i="9" s="1"/>
  <c r="AL206" i="9"/>
  <c r="AL210" i="9" s="1"/>
  <c r="AL214" i="9" s="1"/>
  <c r="AK206" i="9"/>
  <c r="AK210" i="9" s="1"/>
  <c r="AK214" i="9" s="1"/>
  <c r="AJ206" i="9"/>
  <c r="AJ210" i="9" s="1"/>
  <c r="AJ214" i="9" s="1"/>
  <c r="AI206" i="9"/>
  <c r="AI210" i="9" s="1"/>
  <c r="AI214" i="9" s="1"/>
  <c r="AH206" i="9"/>
  <c r="AH210" i="9" s="1"/>
  <c r="AH214" i="9" s="1"/>
  <c r="AG206" i="9"/>
  <c r="AG210" i="9" s="1"/>
  <c r="AG214" i="9" s="1"/>
  <c r="AF206" i="9"/>
  <c r="AF210" i="9" s="1"/>
  <c r="AF214" i="9" s="1"/>
  <c r="AD206" i="9"/>
  <c r="AD210" i="9" s="1"/>
  <c r="AD214" i="9" s="1"/>
  <c r="AC206" i="9"/>
  <c r="AC210" i="9" s="1"/>
  <c r="AC214" i="9" s="1"/>
  <c r="AB206" i="9"/>
  <c r="AB210" i="9" s="1"/>
  <c r="AB214" i="9" s="1"/>
  <c r="AA206" i="9"/>
  <c r="AA210" i="9" s="1"/>
  <c r="AA214" i="9" s="1"/>
  <c r="Z206" i="9"/>
  <c r="Z210" i="9" s="1"/>
  <c r="Z214" i="9" s="1"/>
  <c r="Y206" i="9"/>
  <c r="Y210" i="9" s="1"/>
  <c r="Y214" i="9" s="1"/>
  <c r="X206" i="9"/>
  <c r="X210" i="9" s="1"/>
  <c r="X214" i="9" s="1"/>
  <c r="W206" i="9"/>
  <c r="W210" i="9" s="1"/>
  <c r="W214" i="9" s="1"/>
  <c r="V206" i="9"/>
  <c r="V210" i="9" s="1"/>
  <c r="V214" i="9" s="1"/>
  <c r="U206" i="9"/>
  <c r="U210" i="9" s="1"/>
  <c r="U214" i="9" s="1"/>
  <c r="T206" i="9"/>
  <c r="T210" i="9" s="1"/>
  <c r="T214" i="9" s="1"/>
  <c r="S206" i="9"/>
  <c r="S210" i="9" s="1"/>
  <c r="S214" i="9" s="1"/>
  <c r="R206" i="9"/>
  <c r="R210" i="9" s="1"/>
  <c r="R214" i="9" s="1"/>
  <c r="Q206" i="9"/>
  <c r="Q210" i="9" s="1"/>
  <c r="Q214" i="9" s="1"/>
  <c r="P206" i="9"/>
  <c r="P210" i="9" s="1"/>
  <c r="P214" i="9" s="1"/>
  <c r="O206" i="9"/>
  <c r="O210" i="9" s="1"/>
  <c r="O214" i="9" s="1"/>
  <c r="N206" i="9"/>
  <c r="N210" i="9" s="1"/>
  <c r="N214" i="9" s="1"/>
  <c r="M206" i="9"/>
  <c r="M210" i="9" s="1"/>
  <c r="M214" i="9" s="1"/>
  <c r="L206" i="9"/>
  <c r="L210" i="9" s="1"/>
  <c r="L214" i="9" s="1"/>
  <c r="K206" i="9"/>
  <c r="K210" i="9" s="1"/>
  <c r="K214" i="9" s="1"/>
  <c r="J206" i="9"/>
  <c r="J210" i="9" s="1"/>
  <c r="J214" i="9" s="1"/>
  <c r="I206" i="9"/>
  <c r="I210" i="9" s="1"/>
  <c r="I214" i="9" s="1"/>
  <c r="H206" i="9"/>
  <c r="H210" i="9" s="1"/>
  <c r="H214" i="9" s="1"/>
  <c r="G206" i="9"/>
  <c r="G210" i="9" s="1"/>
  <c r="G214" i="9" s="1"/>
  <c r="F206" i="9"/>
  <c r="F210" i="9" s="1"/>
  <c r="F214" i="9" s="1"/>
  <c r="E206" i="9"/>
  <c r="E210" i="9" s="1"/>
  <c r="E214" i="9" s="1"/>
  <c r="D206" i="9"/>
  <c r="D210" i="9" s="1"/>
  <c r="D214" i="9" s="1"/>
  <c r="C206" i="9"/>
  <c r="BZ205" i="9"/>
  <c r="BZ209" i="9" s="1"/>
  <c r="BZ213" i="9" s="1"/>
  <c r="BY205" i="9"/>
  <c r="BY209" i="9" s="1"/>
  <c r="BY213" i="9" s="1"/>
  <c r="BX205" i="9"/>
  <c r="BX209" i="9" s="1"/>
  <c r="BX213" i="9" s="1"/>
  <c r="BW205" i="9"/>
  <c r="BW209" i="9" s="1"/>
  <c r="BW213" i="9" s="1"/>
  <c r="BV205" i="9"/>
  <c r="BV209" i="9" s="1"/>
  <c r="BV213" i="9" s="1"/>
  <c r="BU205" i="9"/>
  <c r="BU209" i="9" s="1"/>
  <c r="BU213" i="9" s="1"/>
  <c r="BT205" i="9"/>
  <c r="BT209" i="9" s="1"/>
  <c r="BT213" i="9" s="1"/>
  <c r="BS205" i="9"/>
  <c r="BS209" i="9" s="1"/>
  <c r="BS213" i="9" s="1"/>
  <c r="BR205" i="9"/>
  <c r="BR209" i="9" s="1"/>
  <c r="BR213" i="9" s="1"/>
  <c r="BQ205" i="9"/>
  <c r="BQ209" i="9" s="1"/>
  <c r="BQ213" i="9" s="1"/>
  <c r="BP205" i="9"/>
  <c r="BP209" i="9" s="1"/>
  <c r="BP213" i="9" s="1"/>
  <c r="BO205" i="9"/>
  <c r="BO209" i="9" s="1"/>
  <c r="BO213" i="9" s="1"/>
  <c r="BN205" i="9"/>
  <c r="BN209" i="9" s="1"/>
  <c r="BN213" i="9" s="1"/>
  <c r="BM205" i="9"/>
  <c r="BM209" i="9" s="1"/>
  <c r="BM213" i="9" s="1"/>
  <c r="BL205" i="9"/>
  <c r="BL209" i="9" s="1"/>
  <c r="BL213" i="9" s="1"/>
  <c r="BK205" i="9"/>
  <c r="BK209" i="9" s="1"/>
  <c r="BK213" i="9" s="1"/>
  <c r="BJ205" i="9"/>
  <c r="BJ209" i="9" s="1"/>
  <c r="BJ213" i="9" s="1"/>
  <c r="BI205" i="9"/>
  <c r="BI209" i="9" s="1"/>
  <c r="BI213" i="9" s="1"/>
  <c r="BH205" i="9"/>
  <c r="BH209" i="9" s="1"/>
  <c r="BH213" i="9" s="1"/>
  <c r="BG205" i="9"/>
  <c r="BG209" i="9" s="1"/>
  <c r="BG213" i="9" s="1"/>
  <c r="BF205" i="9"/>
  <c r="BF209" i="9" s="1"/>
  <c r="BF213" i="9" s="1"/>
  <c r="BE205" i="9"/>
  <c r="BE209" i="9" s="1"/>
  <c r="BE213" i="9" s="1"/>
  <c r="BD205" i="9"/>
  <c r="BD209" i="9" s="1"/>
  <c r="BD213" i="9" s="1"/>
  <c r="BC205" i="9"/>
  <c r="BC209" i="9" s="1"/>
  <c r="BC213" i="9" s="1"/>
  <c r="BB205" i="9"/>
  <c r="BB209" i="9" s="1"/>
  <c r="BB213" i="9" s="1"/>
  <c r="BA205" i="9"/>
  <c r="BA209" i="9" s="1"/>
  <c r="BA213" i="9" s="1"/>
  <c r="AZ205" i="9"/>
  <c r="AZ209" i="9" s="1"/>
  <c r="AZ213" i="9" s="1"/>
  <c r="AY205" i="9"/>
  <c r="AY209" i="9" s="1"/>
  <c r="AY213" i="9" s="1"/>
  <c r="AX205" i="9"/>
  <c r="AX209" i="9" s="1"/>
  <c r="AX213" i="9" s="1"/>
  <c r="AW205" i="9"/>
  <c r="AW209" i="9" s="1"/>
  <c r="AW213" i="9" s="1"/>
  <c r="AV205" i="9"/>
  <c r="AV209" i="9" s="1"/>
  <c r="AV213" i="9" s="1"/>
  <c r="AU205" i="9"/>
  <c r="AU209" i="9" s="1"/>
  <c r="AU213" i="9" s="1"/>
  <c r="AT205" i="9"/>
  <c r="AT209" i="9" s="1"/>
  <c r="AT213" i="9" s="1"/>
  <c r="AS205" i="9"/>
  <c r="AS209" i="9" s="1"/>
  <c r="AS213" i="9" s="1"/>
  <c r="AR205" i="9"/>
  <c r="AR209" i="9" s="1"/>
  <c r="AR213" i="9" s="1"/>
  <c r="AQ205" i="9"/>
  <c r="AQ209" i="9" s="1"/>
  <c r="AQ213" i="9" s="1"/>
  <c r="AP205" i="9"/>
  <c r="AP209" i="9" s="1"/>
  <c r="AP213" i="9" s="1"/>
  <c r="AO205" i="9"/>
  <c r="AO209" i="9" s="1"/>
  <c r="AO213" i="9" s="1"/>
  <c r="AN205" i="9"/>
  <c r="AN209" i="9" s="1"/>
  <c r="AN213" i="9" s="1"/>
  <c r="AM205" i="9"/>
  <c r="AM209" i="9" s="1"/>
  <c r="AM213" i="9" s="1"/>
  <c r="AL205" i="9"/>
  <c r="AL209" i="9" s="1"/>
  <c r="AL213" i="9" s="1"/>
  <c r="AK205" i="9"/>
  <c r="AK209" i="9" s="1"/>
  <c r="AK213" i="9" s="1"/>
  <c r="AJ205" i="9"/>
  <c r="AJ209" i="9" s="1"/>
  <c r="AJ213" i="9" s="1"/>
  <c r="AI205" i="9"/>
  <c r="AI209" i="9" s="1"/>
  <c r="AI213" i="9" s="1"/>
  <c r="AH205" i="9"/>
  <c r="AH209" i="9" s="1"/>
  <c r="AH213" i="9" s="1"/>
  <c r="AG205" i="9"/>
  <c r="AG209" i="9" s="1"/>
  <c r="AG213" i="9" s="1"/>
  <c r="AF205" i="9"/>
  <c r="AF209" i="9" s="1"/>
  <c r="AF213" i="9" s="1"/>
  <c r="AD205" i="9"/>
  <c r="AD209" i="9" s="1"/>
  <c r="AD213" i="9" s="1"/>
  <c r="AC205" i="9"/>
  <c r="AC209" i="9" s="1"/>
  <c r="AC213" i="9" s="1"/>
  <c r="AB205" i="9"/>
  <c r="AB209" i="9" s="1"/>
  <c r="AB213" i="9" s="1"/>
  <c r="AA205" i="9"/>
  <c r="AA209" i="9" s="1"/>
  <c r="AA213" i="9" s="1"/>
  <c r="Z205" i="9"/>
  <c r="Z209" i="9" s="1"/>
  <c r="Z213" i="9" s="1"/>
  <c r="Y205" i="9"/>
  <c r="Y209" i="9" s="1"/>
  <c r="Y213" i="9" s="1"/>
  <c r="X205" i="9"/>
  <c r="X209" i="9" s="1"/>
  <c r="X213" i="9" s="1"/>
  <c r="W205" i="9"/>
  <c r="W209" i="9" s="1"/>
  <c r="W213" i="9" s="1"/>
  <c r="V205" i="9"/>
  <c r="V209" i="9" s="1"/>
  <c r="V213" i="9" s="1"/>
  <c r="U205" i="9"/>
  <c r="U209" i="9" s="1"/>
  <c r="U213" i="9" s="1"/>
  <c r="T205" i="9"/>
  <c r="T209" i="9" s="1"/>
  <c r="T213" i="9" s="1"/>
  <c r="S205" i="9"/>
  <c r="S209" i="9" s="1"/>
  <c r="S213" i="9" s="1"/>
  <c r="R205" i="9"/>
  <c r="R209" i="9" s="1"/>
  <c r="R213" i="9" s="1"/>
  <c r="Q205" i="9"/>
  <c r="Q209" i="9" s="1"/>
  <c r="Q213" i="9" s="1"/>
  <c r="P205" i="9"/>
  <c r="P209" i="9" s="1"/>
  <c r="P213" i="9" s="1"/>
  <c r="O205" i="9"/>
  <c r="O209" i="9" s="1"/>
  <c r="O213" i="9" s="1"/>
  <c r="N205" i="9"/>
  <c r="N209" i="9" s="1"/>
  <c r="N213" i="9" s="1"/>
  <c r="M205" i="9"/>
  <c r="M209" i="9" s="1"/>
  <c r="M213" i="9" s="1"/>
  <c r="L205" i="9"/>
  <c r="L209" i="9" s="1"/>
  <c r="L213" i="9" s="1"/>
  <c r="K205" i="9"/>
  <c r="K209" i="9" s="1"/>
  <c r="K213" i="9" s="1"/>
  <c r="J205" i="9"/>
  <c r="J209" i="9" s="1"/>
  <c r="J213" i="9" s="1"/>
  <c r="I205" i="9"/>
  <c r="I209" i="9" s="1"/>
  <c r="I213" i="9" s="1"/>
  <c r="H205" i="9"/>
  <c r="H209" i="9" s="1"/>
  <c r="H213" i="9" s="1"/>
  <c r="G205" i="9"/>
  <c r="G209" i="9" s="1"/>
  <c r="G213" i="9" s="1"/>
  <c r="F205" i="9"/>
  <c r="F209" i="9" s="1"/>
  <c r="F213" i="9" s="1"/>
  <c r="E205" i="9"/>
  <c r="E209" i="9" s="1"/>
  <c r="E213" i="9" s="1"/>
  <c r="D205" i="9"/>
  <c r="D209" i="9" s="1"/>
  <c r="D213" i="9" s="1"/>
  <c r="C205" i="9"/>
  <c r="BZ204" i="9"/>
  <c r="BZ208" i="9" s="1"/>
  <c r="BZ212" i="9" s="1"/>
  <c r="BY204" i="9"/>
  <c r="BY208" i="9" s="1"/>
  <c r="BY212" i="9" s="1"/>
  <c r="BX204" i="9"/>
  <c r="BX208" i="9" s="1"/>
  <c r="BX212" i="9" s="1"/>
  <c r="BW204" i="9"/>
  <c r="BW208" i="9" s="1"/>
  <c r="BW212" i="9" s="1"/>
  <c r="BV204" i="9"/>
  <c r="BV208" i="9" s="1"/>
  <c r="BV212" i="9" s="1"/>
  <c r="BU204" i="9"/>
  <c r="BU208" i="9" s="1"/>
  <c r="BU212" i="9" s="1"/>
  <c r="BT204" i="9"/>
  <c r="BT208" i="9" s="1"/>
  <c r="BT212" i="9" s="1"/>
  <c r="BS204" i="9"/>
  <c r="BS208" i="9" s="1"/>
  <c r="BS212" i="9" s="1"/>
  <c r="BR204" i="9"/>
  <c r="BR208" i="9" s="1"/>
  <c r="BR212" i="9" s="1"/>
  <c r="BQ204" i="9"/>
  <c r="BQ208" i="9" s="1"/>
  <c r="BQ212" i="9" s="1"/>
  <c r="BP204" i="9"/>
  <c r="BP208" i="9" s="1"/>
  <c r="BP212" i="9" s="1"/>
  <c r="BO204" i="9"/>
  <c r="BO208" i="9" s="1"/>
  <c r="BO212" i="9" s="1"/>
  <c r="BN204" i="9"/>
  <c r="BN208" i="9" s="1"/>
  <c r="BN212" i="9" s="1"/>
  <c r="BM204" i="9"/>
  <c r="BM208" i="9" s="1"/>
  <c r="BM212" i="9" s="1"/>
  <c r="BL204" i="9"/>
  <c r="BL208" i="9" s="1"/>
  <c r="BL212" i="9" s="1"/>
  <c r="BK204" i="9"/>
  <c r="BK208" i="9" s="1"/>
  <c r="BK212" i="9" s="1"/>
  <c r="BJ204" i="9"/>
  <c r="BJ208" i="9" s="1"/>
  <c r="BJ212" i="9" s="1"/>
  <c r="BI204" i="9"/>
  <c r="BI208" i="9" s="1"/>
  <c r="BI212" i="9" s="1"/>
  <c r="BH204" i="9"/>
  <c r="BH208" i="9" s="1"/>
  <c r="BH212" i="9" s="1"/>
  <c r="BG204" i="9"/>
  <c r="BG208" i="9" s="1"/>
  <c r="BG212" i="9" s="1"/>
  <c r="BF204" i="9"/>
  <c r="BF208" i="9" s="1"/>
  <c r="BF212" i="9" s="1"/>
  <c r="BE204" i="9"/>
  <c r="BE208" i="9" s="1"/>
  <c r="BE212" i="9" s="1"/>
  <c r="BD204" i="9"/>
  <c r="BD208" i="9" s="1"/>
  <c r="BD212" i="9" s="1"/>
  <c r="BC204" i="9"/>
  <c r="BC208" i="9" s="1"/>
  <c r="BC212" i="9" s="1"/>
  <c r="BB204" i="9"/>
  <c r="BB208" i="9" s="1"/>
  <c r="BB212" i="9" s="1"/>
  <c r="BA204" i="9"/>
  <c r="BA208" i="9" s="1"/>
  <c r="BA212" i="9" s="1"/>
  <c r="AZ204" i="9"/>
  <c r="AZ208" i="9" s="1"/>
  <c r="AZ212" i="9" s="1"/>
  <c r="AY204" i="9"/>
  <c r="AY208" i="9" s="1"/>
  <c r="AY212" i="9" s="1"/>
  <c r="AX204" i="9"/>
  <c r="AX208" i="9" s="1"/>
  <c r="AX212" i="9" s="1"/>
  <c r="AW204" i="9"/>
  <c r="AW208" i="9" s="1"/>
  <c r="AW212" i="9" s="1"/>
  <c r="AV204" i="9"/>
  <c r="AV208" i="9" s="1"/>
  <c r="AV212" i="9" s="1"/>
  <c r="AU204" i="9"/>
  <c r="AU208" i="9" s="1"/>
  <c r="AU212" i="9" s="1"/>
  <c r="AT204" i="9"/>
  <c r="AT208" i="9" s="1"/>
  <c r="AT212" i="9" s="1"/>
  <c r="AS204" i="9"/>
  <c r="AS208" i="9" s="1"/>
  <c r="AS212" i="9" s="1"/>
  <c r="AR204" i="9"/>
  <c r="AR208" i="9" s="1"/>
  <c r="AR212" i="9" s="1"/>
  <c r="AQ204" i="9"/>
  <c r="AQ208" i="9" s="1"/>
  <c r="AQ212" i="9" s="1"/>
  <c r="AP204" i="9"/>
  <c r="AP208" i="9" s="1"/>
  <c r="AP212" i="9" s="1"/>
  <c r="AO204" i="9"/>
  <c r="AO208" i="9" s="1"/>
  <c r="AO212" i="9" s="1"/>
  <c r="AN204" i="9"/>
  <c r="AN208" i="9" s="1"/>
  <c r="AN212" i="9" s="1"/>
  <c r="AM204" i="9"/>
  <c r="AM208" i="9" s="1"/>
  <c r="AM212" i="9" s="1"/>
  <c r="AL204" i="9"/>
  <c r="AL208" i="9" s="1"/>
  <c r="AL212" i="9" s="1"/>
  <c r="AK204" i="9"/>
  <c r="AK208" i="9" s="1"/>
  <c r="AK212" i="9" s="1"/>
  <c r="AJ204" i="9"/>
  <c r="AJ208" i="9" s="1"/>
  <c r="AJ212" i="9" s="1"/>
  <c r="AI204" i="9"/>
  <c r="AI208" i="9" s="1"/>
  <c r="AI212" i="9" s="1"/>
  <c r="AH204" i="9"/>
  <c r="AH208" i="9" s="1"/>
  <c r="AH212" i="9" s="1"/>
  <c r="AG204" i="9"/>
  <c r="AG208" i="9" s="1"/>
  <c r="AG212" i="9" s="1"/>
  <c r="AF204" i="9"/>
  <c r="AF208" i="9" s="1"/>
  <c r="AF212" i="9" s="1"/>
  <c r="AD204" i="9"/>
  <c r="AD208" i="9" s="1"/>
  <c r="AD212" i="9" s="1"/>
  <c r="AC204" i="9"/>
  <c r="AC208" i="9" s="1"/>
  <c r="AC212" i="9" s="1"/>
  <c r="AB204" i="9"/>
  <c r="AB208" i="9" s="1"/>
  <c r="AB212" i="9" s="1"/>
  <c r="AA204" i="9"/>
  <c r="AA208" i="9" s="1"/>
  <c r="AA212" i="9" s="1"/>
  <c r="Z204" i="9"/>
  <c r="Z208" i="9" s="1"/>
  <c r="Z212" i="9" s="1"/>
  <c r="Y204" i="9"/>
  <c r="Y208" i="9" s="1"/>
  <c r="Y212" i="9" s="1"/>
  <c r="X204" i="9"/>
  <c r="X208" i="9" s="1"/>
  <c r="X212" i="9" s="1"/>
  <c r="W204" i="9"/>
  <c r="W208" i="9" s="1"/>
  <c r="W212" i="9" s="1"/>
  <c r="V204" i="9"/>
  <c r="V208" i="9" s="1"/>
  <c r="V212" i="9" s="1"/>
  <c r="U204" i="9"/>
  <c r="U208" i="9" s="1"/>
  <c r="U212" i="9" s="1"/>
  <c r="T204" i="9"/>
  <c r="T208" i="9" s="1"/>
  <c r="T212" i="9" s="1"/>
  <c r="S204" i="9"/>
  <c r="S208" i="9" s="1"/>
  <c r="S212" i="9" s="1"/>
  <c r="R204" i="9"/>
  <c r="R208" i="9" s="1"/>
  <c r="R212" i="9" s="1"/>
  <c r="Q204" i="9"/>
  <c r="Q208" i="9" s="1"/>
  <c r="Q212" i="9" s="1"/>
  <c r="P204" i="9"/>
  <c r="P208" i="9" s="1"/>
  <c r="P212" i="9" s="1"/>
  <c r="O204" i="9"/>
  <c r="O208" i="9" s="1"/>
  <c r="O212" i="9" s="1"/>
  <c r="N204" i="9"/>
  <c r="N208" i="9" s="1"/>
  <c r="N212" i="9" s="1"/>
  <c r="M204" i="9"/>
  <c r="M208" i="9" s="1"/>
  <c r="M212" i="9" s="1"/>
  <c r="L204" i="9"/>
  <c r="L208" i="9" s="1"/>
  <c r="L212" i="9" s="1"/>
  <c r="K204" i="9"/>
  <c r="K208" i="9" s="1"/>
  <c r="K212" i="9" s="1"/>
  <c r="J204" i="9"/>
  <c r="J208" i="9" s="1"/>
  <c r="J212" i="9" s="1"/>
  <c r="I204" i="9"/>
  <c r="I208" i="9" s="1"/>
  <c r="I212" i="9" s="1"/>
  <c r="H204" i="9"/>
  <c r="H208" i="9" s="1"/>
  <c r="H212" i="9" s="1"/>
  <c r="G204" i="9"/>
  <c r="G208" i="9" s="1"/>
  <c r="G212" i="9" s="1"/>
  <c r="F204" i="9"/>
  <c r="F208" i="9" s="1"/>
  <c r="F212" i="9" s="1"/>
  <c r="E204" i="9"/>
  <c r="E208" i="9" s="1"/>
  <c r="E212" i="9" s="1"/>
  <c r="D204" i="9"/>
  <c r="D208" i="9" s="1"/>
  <c r="D212" i="9" s="1"/>
  <c r="C204" i="9"/>
  <c r="CC202" i="9"/>
  <c r="CC201" i="9"/>
  <c r="CC200" i="9"/>
  <c r="BZ190" i="9"/>
  <c r="BZ194" i="9" s="1"/>
  <c r="BZ198" i="9" s="1"/>
  <c r="BY190" i="9"/>
  <c r="BY194" i="9" s="1"/>
  <c r="BY198" i="9" s="1"/>
  <c r="BX190" i="9"/>
  <c r="BX194" i="9" s="1"/>
  <c r="BX198" i="9" s="1"/>
  <c r="BW190" i="9"/>
  <c r="BW194" i="9" s="1"/>
  <c r="BW198" i="9" s="1"/>
  <c r="BV190" i="9"/>
  <c r="BV194" i="9" s="1"/>
  <c r="BV198" i="9" s="1"/>
  <c r="BU190" i="9"/>
  <c r="BU194" i="9" s="1"/>
  <c r="BU198" i="9" s="1"/>
  <c r="BT190" i="9"/>
  <c r="BT194" i="9" s="1"/>
  <c r="BT198" i="9" s="1"/>
  <c r="BS190" i="9"/>
  <c r="BS194" i="9" s="1"/>
  <c r="BS198" i="9" s="1"/>
  <c r="BR190" i="9"/>
  <c r="BR194" i="9" s="1"/>
  <c r="BR198" i="9" s="1"/>
  <c r="BQ190" i="9"/>
  <c r="BQ194" i="9" s="1"/>
  <c r="BQ198" i="9" s="1"/>
  <c r="BP190" i="9"/>
  <c r="BP194" i="9" s="1"/>
  <c r="BP198" i="9" s="1"/>
  <c r="BO190" i="9"/>
  <c r="BO194" i="9" s="1"/>
  <c r="BO198" i="9" s="1"/>
  <c r="BN190" i="9"/>
  <c r="BN194" i="9" s="1"/>
  <c r="BN198" i="9" s="1"/>
  <c r="BM190" i="9"/>
  <c r="BM194" i="9" s="1"/>
  <c r="BM198" i="9" s="1"/>
  <c r="BL190" i="9"/>
  <c r="BL194" i="9" s="1"/>
  <c r="BL198" i="9" s="1"/>
  <c r="BK190" i="9"/>
  <c r="BK194" i="9" s="1"/>
  <c r="BK198" i="9" s="1"/>
  <c r="BJ190" i="9"/>
  <c r="BJ194" i="9" s="1"/>
  <c r="BJ198" i="9" s="1"/>
  <c r="BI190" i="9"/>
  <c r="BI194" i="9" s="1"/>
  <c r="BI198" i="9" s="1"/>
  <c r="BH190" i="9"/>
  <c r="BH194" i="9" s="1"/>
  <c r="BH198" i="9" s="1"/>
  <c r="BG190" i="9"/>
  <c r="BG194" i="9" s="1"/>
  <c r="BG198" i="9" s="1"/>
  <c r="BF190" i="9"/>
  <c r="BF194" i="9" s="1"/>
  <c r="BF198" i="9" s="1"/>
  <c r="BE190" i="9"/>
  <c r="BE194" i="9" s="1"/>
  <c r="BE198" i="9" s="1"/>
  <c r="BD190" i="9"/>
  <c r="BD194" i="9" s="1"/>
  <c r="BD198" i="9" s="1"/>
  <c r="BC190" i="9"/>
  <c r="BC194" i="9" s="1"/>
  <c r="BC198" i="9" s="1"/>
  <c r="BB190" i="9"/>
  <c r="BB194" i="9" s="1"/>
  <c r="BB198" i="9" s="1"/>
  <c r="BA190" i="9"/>
  <c r="BA194" i="9" s="1"/>
  <c r="BA198" i="9" s="1"/>
  <c r="AZ190" i="9"/>
  <c r="AZ194" i="9" s="1"/>
  <c r="AZ198" i="9" s="1"/>
  <c r="AY190" i="9"/>
  <c r="AY194" i="9" s="1"/>
  <c r="AY198" i="9" s="1"/>
  <c r="AX190" i="9"/>
  <c r="AX194" i="9" s="1"/>
  <c r="AX198" i="9" s="1"/>
  <c r="AW190" i="9"/>
  <c r="AW194" i="9" s="1"/>
  <c r="AW198" i="9" s="1"/>
  <c r="AV190" i="9"/>
  <c r="AV194" i="9" s="1"/>
  <c r="AV198" i="9" s="1"/>
  <c r="AU190" i="9"/>
  <c r="AU194" i="9" s="1"/>
  <c r="AU198" i="9" s="1"/>
  <c r="AT190" i="9"/>
  <c r="AT194" i="9" s="1"/>
  <c r="AT198" i="9" s="1"/>
  <c r="AS190" i="9"/>
  <c r="AS194" i="9" s="1"/>
  <c r="AS198" i="9" s="1"/>
  <c r="AR190" i="9"/>
  <c r="AR194" i="9" s="1"/>
  <c r="AR198" i="9" s="1"/>
  <c r="AQ190" i="9"/>
  <c r="AQ194" i="9" s="1"/>
  <c r="AQ198" i="9" s="1"/>
  <c r="AP190" i="9"/>
  <c r="AP194" i="9" s="1"/>
  <c r="AP198" i="9" s="1"/>
  <c r="AO190" i="9"/>
  <c r="AO194" i="9" s="1"/>
  <c r="AO198" i="9" s="1"/>
  <c r="AN190" i="9"/>
  <c r="AN194" i="9" s="1"/>
  <c r="AN198" i="9" s="1"/>
  <c r="AM190" i="9"/>
  <c r="AM194" i="9" s="1"/>
  <c r="AM198" i="9" s="1"/>
  <c r="AL190" i="9"/>
  <c r="AL194" i="9" s="1"/>
  <c r="AL198" i="9" s="1"/>
  <c r="AK190" i="9"/>
  <c r="AK194" i="9" s="1"/>
  <c r="AK198" i="9" s="1"/>
  <c r="AJ190" i="9"/>
  <c r="AJ194" i="9" s="1"/>
  <c r="AJ198" i="9" s="1"/>
  <c r="AI190" i="9"/>
  <c r="AI194" i="9" s="1"/>
  <c r="AI198" i="9" s="1"/>
  <c r="AH190" i="9"/>
  <c r="AH194" i="9" s="1"/>
  <c r="AH198" i="9" s="1"/>
  <c r="AG190" i="9"/>
  <c r="AG194" i="9" s="1"/>
  <c r="AG198" i="9" s="1"/>
  <c r="AF190" i="9"/>
  <c r="AF194" i="9" s="1"/>
  <c r="AF198" i="9" s="1"/>
  <c r="AD190" i="9"/>
  <c r="AD194" i="9" s="1"/>
  <c r="AD198" i="9" s="1"/>
  <c r="AC190" i="9"/>
  <c r="AC194" i="9" s="1"/>
  <c r="AC198" i="9" s="1"/>
  <c r="AB190" i="9"/>
  <c r="AB194" i="9" s="1"/>
  <c r="AB198" i="9" s="1"/>
  <c r="AA190" i="9"/>
  <c r="AA194" i="9" s="1"/>
  <c r="AA198" i="9" s="1"/>
  <c r="Z190" i="9"/>
  <c r="Z194" i="9" s="1"/>
  <c r="Z198" i="9" s="1"/>
  <c r="Y190" i="9"/>
  <c r="Y194" i="9" s="1"/>
  <c r="Y198" i="9" s="1"/>
  <c r="X190" i="9"/>
  <c r="X194" i="9" s="1"/>
  <c r="X198" i="9" s="1"/>
  <c r="W190" i="9"/>
  <c r="W194" i="9" s="1"/>
  <c r="W198" i="9" s="1"/>
  <c r="V190" i="9"/>
  <c r="V194" i="9" s="1"/>
  <c r="V198" i="9" s="1"/>
  <c r="U190" i="9"/>
  <c r="U194" i="9" s="1"/>
  <c r="U198" i="9" s="1"/>
  <c r="T190" i="9"/>
  <c r="T194" i="9" s="1"/>
  <c r="T198" i="9" s="1"/>
  <c r="S190" i="9"/>
  <c r="S194" i="9" s="1"/>
  <c r="S198" i="9" s="1"/>
  <c r="R190" i="9"/>
  <c r="R194" i="9" s="1"/>
  <c r="R198" i="9" s="1"/>
  <c r="Q190" i="9"/>
  <c r="Q194" i="9" s="1"/>
  <c r="Q198" i="9" s="1"/>
  <c r="P190" i="9"/>
  <c r="P194" i="9" s="1"/>
  <c r="P198" i="9" s="1"/>
  <c r="O190" i="9"/>
  <c r="O194" i="9" s="1"/>
  <c r="O198" i="9" s="1"/>
  <c r="N190" i="9"/>
  <c r="N194" i="9" s="1"/>
  <c r="N198" i="9" s="1"/>
  <c r="M190" i="9"/>
  <c r="M194" i="9" s="1"/>
  <c r="M198" i="9" s="1"/>
  <c r="L190" i="9"/>
  <c r="L194" i="9" s="1"/>
  <c r="L198" i="9" s="1"/>
  <c r="K190" i="9"/>
  <c r="K194" i="9" s="1"/>
  <c r="K198" i="9" s="1"/>
  <c r="J190" i="9"/>
  <c r="J194" i="9" s="1"/>
  <c r="J198" i="9" s="1"/>
  <c r="I190" i="9"/>
  <c r="I194" i="9" s="1"/>
  <c r="I198" i="9" s="1"/>
  <c r="H190" i="9"/>
  <c r="H194" i="9" s="1"/>
  <c r="H198" i="9" s="1"/>
  <c r="G190" i="9"/>
  <c r="G194" i="9" s="1"/>
  <c r="G198" i="9" s="1"/>
  <c r="F190" i="9"/>
  <c r="F194" i="9" s="1"/>
  <c r="F198" i="9" s="1"/>
  <c r="E190" i="9"/>
  <c r="E194" i="9" s="1"/>
  <c r="E198" i="9" s="1"/>
  <c r="D190" i="9"/>
  <c r="D194" i="9" s="1"/>
  <c r="D198" i="9" s="1"/>
  <c r="C190" i="9"/>
  <c r="BZ189" i="9"/>
  <c r="BZ193" i="9" s="1"/>
  <c r="BZ197" i="9" s="1"/>
  <c r="BY189" i="9"/>
  <c r="BY193" i="9" s="1"/>
  <c r="BY197" i="9" s="1"/>
  <c r="BX189" i="9"/>
  <c r="BX193" i="9" s="1"/>
  <c r="BX197" i="9" s="1"/>
  <c r="BW189" i="9"/>
  <c r="BW193" i="9" s="1"/>
  <c r="BW197" i="9" s="1"/>
  <c r="BV189" i="9"/>
  <c r="BV193" i="9" s="1"/>
  <c r="BV197" i="9" s="1"/>
  <c r="BU189" i="9"/>
  <c r="BU193" i="9" s="1"/>
  <c r="BU197" i="9" s="1"/>
  <c r="BT189" i="9"/>
  <c r="BT193" i="9" s="1"/>
  <c r="BT197" i="9" s="1"/>
  <c r="BS189" i="9"/>
  <c r="BS193" i="9" s="1"/>
  <c r="BS197" i="9" s="1"/>
  <c r="BR189" i="9"/>
  <c r="BR193" i="9" s="1"/>
  <c r="BR197" i="9" s="1"/>
  <c r="BQ189" i="9"/>
  <c r="BQ193" i="9" s="1"/>
  <c r="BQ197" i="9" s="1"/>
  <c r="BP189" i="9"/>
  <c r="BP193" i="9" s="1"/>
  <c r="BP197" i="9" s="1"/>
  <c r="BO189" i="9"/>
  <c r="BO193" i="9" s="1"/>
  <c r="BO197" i="9" s="1"/>
  <c r="BN189" i="9"/>
  <c r="BN193" i="9" s="1"/>
  <c r="BN197" i="9" s="1"/>
  <c r="BM189" i="9"/>
  <c r="BM193" i="9" s="1"/>
  <c r="BM197" i="9" s="1"/>
  <c r="BL189" i="9"/>
  <c r="BL193" i="9" s="1"/>
  <c r="BL197" i="9" s="1"/>
  <c r="BK189" i="9"/>
  <c r="BK193" i="9" s="1"/>
  <c r="BK197" i="9" s="1"/>
  <c r="BJ189" i="9"/>
  <c r="BJ193" i="9" s="1"/>
  <c r="BJ197" i="9" s="1"/>
  <c r="BI189" i="9"/>
  <c r="BI193" i="9" s="1"/>
  <c r="BI197" i="9" s="1"/>
  <c r="BH189" i="9"/>
  <c r="BH193" i="9" s="1"/>
  <c r="BH197" i="9" s="1"/>
  <c r="BG189" i="9"/>
  <c r="BG193" i="9" s="1"/>
  <c r="BG197" i="9" s="1"/>
  <c r="BF189" i="9"/>
  <c r="BF193" i="9" s="1"/>
  <c r="BF197" i="9" s="1"/>
  <c r="BE189" i="9"/>
  <c r="BE193" i="9" s="1"/>
  <c r="BE197" i="9" s="1"/>
  <c r="BD189" i="9"/>
  <c r="BD193" i="9" s="1"/>
  <c r="BD197" i="9" s="1"/>
  <c r="BC189" i="9"/>
  <c r="BC193" i="9" s="1"/>
  <c r="BC197" i="9" s="1"/>
  <c r="BB189" i="9"/>
  <c r="BB193" i="9" s="1"/>
  <c r="BB197" i="9" s="1"/>
  <c r="BA189" i="9"/>
  <c r="BA193" i="9" s="1"/>
  <c r="BA197" i="9" s="1"/>
  <c r="AZ189" i="9"/>
  <c r="AZ193" i="9" s="1"/>
  <c r="AZ197" i="9" s="1"/>
  <c r="AY189" i="9"/>
  <c r="AY193" i="9" s="1"/>
  <c r="AY197" i="9" s="1"/>
  <c r="AX189" i="9"/>
  <c r="AX193" i="9" s="1"/>
  <c r="AX197" i="9" s="1"/>
  <c r="AW189" i="9"/>
  <c r="AW193" i="9" s="1"/>
  <c r="AW197" i="9" s="1"/>
  <c r="AV189" i="9"/>
  <c r="AV193" i="9" s="1"/>
  <c r="AV197" i="9" s="1"/>
  <c r="AU189" i="9"/>
  <c r="AU193" i="9" s="1"/>
  <c r="AU197" i="9" s="1"/>
  <c r="AT189" i="9"/>
  <c r="AT193" i="9" s="1"/>
  <c r="AT197" i="9" s="1"/>
  <c r="AS189" i="9"/>
  <c r="AS193" i="9" s="1"/>
  <c r="AS197" i="9" s="1"/>
  <c r="AR189" i="9"/>
  <c r="AR193" i="9" s="1"/>
  <c r="AR197" i="9" s="1"/>
  <c r="AQ189" i="9"/>
  <c r="AQ193" i="9" s="1"/>
  <c r="AQ197" i="9" s="1"/>
  <c r="AP189" i="9"/>
  <c r="AP193" i="9" s="1"/>
  <c r="AP197" i="9" s="1"/>
  <c r="AO189" i="9"/>
  <c r="AO193" i="9" s="1"/>
  <c r="AO197" i="9" s="1"/>
  <c r="AN189" i="9"/>
  <c r="AN193" i="9" s="1"/>
  <c r="AN197" i="9" s="1"/>
  <c r="AM189" i="9"/>
  <c r="AM193" i="9" s="1"/>
  <c r="AM197" i="9" s="1"/>
  <c r="AL189" i="9"/>
  <c r="AL193" i="9" s="1"/>
  <c r="AL197" i="9" s="1"/>
  <c r="AK189" i="9"/>
  <c r="AK193" i="9" s="1"/>
  <c r="AK197" i="9" s="1"/>
  <c r="AJ189" i="9"/>
  <c r="AJ193" i="9" s="1"/>
  <c r="AJ197" i="9" s="1"/>
  <c r="AI189" i="9"/>
  <c r="AI193" i="9" s="1"/>
  <c r="AI197" i="9" s="1"/>
  <c r="AH189" i="9"/>
  <c r="AH193" i="9" s="1"/>
  <c r="AH197" i="9" s="1"/>
  <c r="AG189" i="9"/>
  <c r="AG193" i="9" s="1"/>
  <c r="AG197" i="9" s="1"/>
  <c r="AF189" i="9"/>
  <c r="AF193" i="9" s="1"/>
  <c r="AF197" i="9" s="1"/>
  <c r="AD189" i="9"/>
  <c r="AD193" i="9" s="1"/>
  <c r="AD197" i="9" s="1"/>
  <c r="AC189" i="9"/>
  <c r="AC193" i="9" s="1"/>
  <c r="AC197" i="9" s="1"/>
  <c r="AB189" i="9"/>
  <c r="AB193" i="9" s="1"/>
  <c r="AB197" i="9" s="1"/>
  <c r="AA189" i="9"/>
  <c r="AA193" i="9" s="1"/>
  <c r="AA197" i="9" s="1"/>
  <c r="Z189" i="9"/>
  <c r="Z193" i="9" s="1"/>
  <c r="Z197" i="9" s="1"/>
  <c r="Y189" i="9"/>
  <c r="Y193" i="9" s="1"/>
  <c r="Y197" i="9" s="1"/>
  <c r="X189" i="9"/>
  <c r="X193" i="9" s="1"/>
  <c r="X197" i="9" s="1"/>
  <c r="W189" i="9"/>
  <c r="W193" i="9" s="1"/>
  <c r="W197" i="9" s="1"/>
  <c r="V189" i="9"/>
  <c r="V193" i="9" s="1"/>
  <c r="V197" i="9" s="1"/>
  <c r="U189" i="9"/>
  <c r="U193" i="9" s="1"/>
  <c r="U197" i="9" s="1"/>
  <c r="T189" i="9"/>
  <c r="T193" i="9" s="1"/>
  <c r="T197" i="9" s="1"/>
  <c r="S189" i="9"/>
  <c r="S193" i="9" s="1"/>
  <c r="S197" i="9" s="1"/>
  <c r="R189" i="9"/>
  <c r="R193" i="9" s="1"/>
  <c r="R197" i="9" s="1"/>
  <c r="Q189" i="9"/>
  <c r="Q193" i="9" s="1"/>
  <c r="Q197" i="9" s="1"/>
  <c r="P189" i="9"/>
  <c r="P193" i="9" s="1"/>
  <c r="P197" i="9" s="1"/>
  <c r="O189" i="9"/>
  <c r="O193" i="9" s="1"/>
  <c r="O197" i="9" s="1"/>
  <c r="N189" i="9"/>
  <c r="N193" i="9" s="1"/>
  <c r="N197" i="9" s="1"/>
  <c r="M189" i="9"/>
  <c r="M193" i="9" s="1"/>
  <c r="M197" i="9" s="1"/>
  <c r="L189" i="9"/>
  <c r="L193" i="9" s="1"/>
  <c r="L197" i="9" s="1"/>
  <c r="K189" i="9"/>
  <c r="K193" i="9" s="1"/>
  <c r="K197" i="9" s="1"/>
  <c r="J189" i="9"/>
  <c r="J193" i="9" s="1"/>
  <c r="J197" i="9" s="1"/>
  <c r="I189" i="9"/>
  <c r="I193" i="9" s="1"/>
  <c r="I197" i="9" s="1"/>
  <c r="H189" i="9"/>
  <c r="H193" i="9" s="1"/>
  <c r="H197" i="9" s="1"/>
  <c r="G189" i="9"/>
  <c r="G193" i="9" s="1"/>
  <c r="G197" i="9" s="1"/>
  <c r="F189" i="9"/>
  <c r="F193" i="9" s="1"/>
  <c r="F197" i="9" s="1"/>
  <c r="E189" i="9"/>
  <c r="E193" i="9" s="1"/>
  <c r="E197" i="9" s="1"/>
  <c r="D189" i="9"/>
  <c r="D193" i="9" s="1"/>
  <c r="D197" i="9" s="1"/>
  <c r="C189" i="9"/>
  <c r="BZ188" i="9"/>
  <c r="BZ192" i="9" s="1"/>
  <c r="BZ196" i="9" s="1"/>
  <c r="BY188" i="9"/>
  <c r="BY192" i="9" s="1"/>
  <c r="BY196" i="9" s="1"/>
  <c r="BX188" i="9"/>
  <c r="BX192" i="9" s="1"/>
  <c r="BX196" i="9" s="1"/>
  <c r="BW188" i="9"/>
  <c r="BW192" i="9" s="1"/>
  <c r="BW196" i="9" s="1"/>
  <c r="BV188" i="9"/>
  <c r="BV192" i="9" s="1"/>
  <c r="BV196" i="9" s="1"/>
  <c r="BU188" i="9"/>
  <c r="BU192" i="9" s="1"/>
  <c r="BU196" i="9" s="1"/>
  <c r="BT188" i="9"/>
  <c r="BT192" i="9" s="1"/>
  <c r="BT196" i="9" s="1"/>
  <c r="BS188" i="9"/>
  <c r="BS192" i="9" s="1"/>
  <c r="BS196" i="9" s="1"/>
  <c r="BR188" i="9"/>
  <c r="BR192" i="9" s="1"/>
  <c r="BR196" i="9" s="1"/>
  <c r="BQ188" i="9"/>
  <c r="BQ192" i="9" s="1"/>
  <c r="BQ196" i="9" s="1"/>
  <c r="BP188" i="9"/>
  <c r="BP192" i="9" s="1"/>
  <c r="BP196" i="9" s="1"/>
  <c r="BO188" i="9"/>
  <c r="BO192" i="9" s="1"/>
  <c r="BO196" i="9" s="1"/>
  <c r="BN188" i="9"/>
  <c r="BN192" i="9" s="1"/>
  <c r="BN196" i="9" s="1"/>
  <c r="BM188" i="9"/>
  <c r="BM192" i="9" s="1"/>
  <c r="BM196" i="9" s="1"/>
  <c r="BL188" i="9"/>
  <c r="BL192" i="9" s="1"/>
  <c r="BL196" i="9" s="1"/>
  <c r="BK188" i="9"/>
  <c r="BK192" i="9" s="1"/>
  <c r="BK196" i="9" s="1"/>
  <c r="BJ188" i="9"/>
  <c r="BJ192" i="9" s="1"/>
  <c r="BJ196" i="9" s="1"/>
  <c r="BI188" i="9"/>
  <c r="BI192" i="9" s="1"/>
  <c r="BI196" i="9" s="1"/>
  <c r="BH188" i="9"/>
  <c r="BH192" i="9" s="1"/>
  <c r="BH196" i="9" s="1"/>
  <c r="BG188" i="9"/>
  <c r="BG192" i="9" s="1"/>
  <c r="BG196" i="9" s="1"/>
  <c r="BF188" i="9"/>
  <c r="BF192" i="9" s="1"/>
  <c r="BF196" i="9" s="1"/>
  <c r="BE188" i="9"/>
  <c r="BE192" i="9" s="1"/>
  <c r="BE196" i="9" s="1"/>
  <c r="BD188" i="9"/>
  <c r="BD192" i="9" s="1"/>
  <c r="BD196" i="9" s="1"/>
  <c r="BC188" i="9"/>
  <c r="BC192" i="9" s="1"/>
  <c r="BC196" i="9" s="1"/>
  <c r="BB188" i="9"/>
  <c r="BB192" i="9" s="1"/>
  <c r="BB196" i="9" s="1"/>
  <c r="BA188" i="9"/>
  <c r="BA192" i="9" s="1"/>
  <c r="BA196" i="9" s="1"/>
  <c r="AZ188" i="9"/>
  <c r="AZ192" i="9" s="1"/>
  <c r="AZ196" i="9" s="1"/>
  <c r="AY188" i="9"/>
  <c r="AY192" i="9" s="1"/>
  <c r="AY196" i="9" s="1"/>
  <c r="AX188" i="9"/>
  <c r="AX192" i="9" s="1"/>
  <c r="AX196" i="9" s="1"/>
  <c r="AW188" i="9"/>
  <c r="AW192" i="9" s="1"/>
  <c r="AW196" i="9" s="1"/>
  <c r="AV188" i="9"/>
  <c r="AV192" i="9" s="1"/>
  <c r="AV196" i="9" s="1"/>
  <c r="AU188" i="9"/>
  <c r="AU192" i="9" s="1"/>
  <c r="AU196" i="9" s="1"/>
  <c r="AT188" i="9"/>
  <c r="AT192" i="9" s="1"/>
  <c r="AT196" i="9" s="1"/>
  <c r="AS188" i="9"/>
  <c r="AS192" i="9" s="1"/>
  <c r="AS196" i="9" s="1"/>
  <c r="AR188" i="9"/>
  <c r="AR192" i="9" s="1"/>
  <c r="AR196" i="9" s="1"/>
  <c r="AQ188" i="9"/>
  <c r="AQ192" i="9" s="1"/>
  <c r="AQ196" i="9" s="1"/>
  <c r="AP188" i="9"/>
  <c r="AP192" i="9" s="1"/>
  <c r="AP196" i="9" s="1"/>
  <c r="AO188" i="9"/>
  <c r="AO192" i="9" s="1"/>
  <c r="AO196" i="9" s="1"/>
  <c r="AN188" i="9"/>
  <c r="AN192" i="9" s="1"/>
  <c r="AN196" i="9" s="1"/>
  <c r="AM188" i="9"/>
  <c r="AM192" i="9" s="1"/>
  <c r="AM196" i="9" s="1"/>
  <c r="AL188" i="9"/>
  <c r="AL192" i="9" s="1"/>
  <c r="AL196" i="9" s="1"/>
  <c r="AK188" i="9"/>
  <c r="AK192" i="9" s="1"/>
  <c r="AK196" i="9" s="1"/>
  <c r="AJ188" i="9"/>
  <c r="AJ192" i="9" s="1"/>
  <c r="AJ196" i="9" s="1"/>
  <c r="AI188" i="9"/>
  <c r="AI192" i="9" s="1"/>
  <c r="AI196" i="9" s="1"/>
  <c r="AH188" i="9"/>
  <c r="AH192" i="9" s="1"/>
  <c r="AH196" i="9" s="1"/>
  <c r="AG188" i="9"/>
  <c r="AG192" i="9" s="1"/>
  <c r="AG196" i="9" s="1"/>
  <c r="AF188" i="9"/>
  <c r="AF192" i="9" s="1"/>
  <c r="AF196" i="9" s="1"/>
  <c r="AD188" i="9"/>
  <c r="AD192" i="9" s="1"/>
  <c r="AD196" i="9" s="1"/>
  <c r="AC188" i="9"/>
  <c r="AC192" i="9" s="1"/>
  <c r="AC196" i="9" s="1"/>
  <c r="AB188" i="9"/>
  <c r="AB192" i="9" s="1"/>
  <c r="AB196" i="9" s="1"/>
  <c r="AA188" i="9"/>
  <c r="AA192" i="9" s="1"/>
  <c r="AA196" i="9" s="1"/>
  <c r="Z188" i="9"/>
  <c r="Z192" i="9" s="1"/>
  <c r="Z196" i="9" s="1"/>
  <c r="Y188" i="9"/>
  <c r="Y192" i="9" s="1"/>
  <c r="Y196" i="9" s="1"/>
  <c r="X188" i="9"/>
  <c r="X192" i="9" s="1"/>
  <c r="X196" i="9" s="1"/>
  <c r="W188" i="9"/>
  <c r="W192" i="9" s="1"/>
  <c r="W196" i="9" s="1"/>
  <c r="V188" i="9"/>
  <c r="V192" i="9" s="1"/>
  <c r="V196" i="9" s="1"/>
  <c r="U188" i="9"/>
  <c r="U192" i="9" s="1"/>
  <c r="U196" i="9" s="1"/>
  <c r="T188" i="9"/>
  <c r="T192" i="9" s="1"/>
  <c r="T196" i="9" s="1"/>
  <c r="S188" i="9"/>
  <c r="S192" i="9" s="1"/>
  <c r="S196" i="9" s="1"/>
  <c r="R188" i="9"/>
  <c r="R192" i="9" s="1"/>
  <c r="R196" i="9" s="1"/>
  <c r="Q188" i="9"/>
  <c r="Q192" i="9" s="1"/>
  <c r="Q196" i="9" s="1"/>
  <c r="P188" i="9"/>
  <c r="P192" i="9" s="1"/>
  <c r="P196" i="9" s="1"/>
  <c r="O188" i="9"/>
  <c r="O192" i="9" s="1"/>
  <c r="O196" i="9" s="1"/>
  <c r="N188" i="9"/>
  <c r="N192" i="9" s="1"/>
  <c r="N196" i="9" s="1"/>
  <c r="M188" i="9"/>
  <c r="M192" i="9" s="1"/>
  <c r="M196" i="9" s="1"/>
  <c r="L188" i="9"/>
  <c r="L192" i="9" s="1"/>
  <c r="L196" i="9" s="1"/>
  <c r="K188" i="9"/>
  <c r="K192" i="9" s="1"/>
  <c r="K196" i="9" s="1"/>
  <c r="J188" i="9"/>
  <c r="J192" i="9" s="1"/>
  <c r="J196" i="9" s="1"/>
  <c r="I188" i="9"/>
  <c r="I192" i="9" s="1"/>
  <c r="I196" i="9" s="1"/>
  <c r="H188" i="9"/>
  <c r="H192" i="9" s="1"/>
  <c r="H196" i="9" s="1"/>
  <c r="G188" i="9"/>
  <c r="G192" i="9" s="1"/>
  <c r="G196" i="9" s="1"/>
  <c r="F188" i="9"/>
  <c r="F192" i="9" s="1"/>
  <c r="F196" i="9" s="1"/>
  <c r="E188" i="9"/>
  <c r="E192" i="9" s="1"/>
  <c r="E196" i="9" s="1"/>
  <c r="D188" i="9"/>
  <c r="D192" i="9" s="1"/>
  <c r="D196" i="9" s="1"/>
  <c r="C188" i="9"/>
  <c r="CC186" i="9"/>
  <c r="CC185" i="9"/>
  <c r="CC184" i="9"/>
  <c r="CA179" i="9"/>
  <c r="BZ148" i="9"/>
  <c r="BY148" i="9"/>
  <c r="BX148" i="9"/>
  <c r="BW148" i="9"/>
  <c r="BV148" i="9"/>
  <c r="BU148" i="9"/>
  <c r="BT148" i="9"/>
  <c r="BS148" i="9"/>
  <c r="BR148" i="9"/>
  <c r="BQ148" i="9"/>
  <c r="BP148" i="9"/>
  <c r="BO148" i="9"/>
  <c r="BN148" i="9"/>
  <c r="BM148" i="9"/>
  <c r="BL148" i="9"/>
  <c r="BK148" i="9"/>
  <c r="BJ148" i="9"/>
  <c r="BI148" i="9"/>
  <c r="BH148" i="9"/>
  <c r="BG148" i="9"/>
  <c r="BF148" i="9"/>
  <c r="BE148" i="9"/>
  <c r="BD148" i="9"/>
  <c r="BC148" i="9"/>
  <c r="BB148" i="9"/>
  <c r="BA148" i="9"/>
  <c r="AZ148" i="9"/>
  <c r="AY148" i="9"/>
  <c r="AX148" i="9"/>
  <c r="AW148" i="9"/>
  <c r="AV148" i="9"/>
  <c r="AU148" i="9"/>
  <c r="AT148" i="9"/>
  <c r="AS148" i="9"/>
  <c r="AR148" i="9"/>
  <c r="AQ148" i="9"/>
  <c r="AP148" i="9"/>
  <c r="AO148" i="9"/>
  <c r="AN148" i="9"/>
  <c r="AM148" i="9"/>
  <c r="AL148" i="9"/>
  <c r="AK148" i="9"/>
  <c r="AJ148" i="9"/>
  <c r="AI148" i="9"/>
  <c r="AH148" i="9"/>
  <c r="AG148" i="9"/>
  <c r="AF148" i="9"/>
  <c r="AD148" i="9"/>
  <c r="AC148" i="9"/>
  <c r="AB148" i="9"/>
  <c r="AA148" i="9"/>
  <c r="Z148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B148" i="9"/>
  <c r="CA148" i="9" s="1"/>
  <c r="B147" i="9"/>
  <c r="BZ146" i="9"/>
  <c r="BZ147" i="9" s="1"/>
  <c r="BY146" i="9"/>
  <c r="BY147" i="9" s="1"/>
  <c r="BX146" i="9"/>
  <c r="BX147" i="9" s="1"/>
  <c r="BW146" i="9"/>
  <c r="BW147" i="9" s="1"/>
  <c r="BV146" i="9"/>
  <c r="BV147" i="9" s="1"/>
  <c r="BU146" i="9"/>
  <c r="BU147" i="9" s="1"/>
  <c r="BT146" i="9"/>
  <c r="BT147" i="9" s="1"/>
  <c r="BS146" i="9"/>
  <c r="BS147" i="9" s="1"/>
  <c r="BR146" i="9"/>
  <c r="BR147" i="9" s="1"/>
  <c r="BQ146" i="9"/>
  <c r="BQ147" i="9" s="1"/>
  <c r="BP146" i="9"/>
  <c r="BP147" i="9" s="1"/>
  <c r="BO146" i="9"/>
  <c r="BO147" i="9" s="1"/>
  <c r="BN146" i="9"/>
  <c r="BN147" i="9" s="1"/>
  <c r="BM146" i="9"/>
  <c r="BM147" i="9" s="1"/>
  <c r="BL146" i="9"/>
  <c r="BL147" i="9" s="1"/>
  <c r="BK146" i="9"/>
  <c r="BK147" i="9" s="1"/>
  <c r="BJ146" i="9"/>
  <c r="BJ147" i="9" s="1"/>
  <c r="BI146" i="9"/>
  <c r="BI147" i="9" s="1"/>
  <c r="BH146" i="9"/>
  <c r="BH147" i="9" s="1"/>
  <c r="BG146" i="9"/>
  <c r="BG147" i="9" s="1"/>
  <c r="BF146" i="9"/>
  <c r="BF147" i="9" s="1"/>
  <c r="BE146" i="9"/>
  <c r="BE147" i="9" s="1"/>
  <c r="BD146" i="9"/>
  <c r="BD147" i="9" s="1"/>
  <c r="BC146" i="9"/>
  <c r="BC147" i="9" s="1"/>
  <c r="BB146" i="9"/>
  <c r="BB147" i="9" s="1"/>
  <c r="BA146" i="9"/>
  <c r="BA147" i="9" s="1"/>
  <c r="AZ146" i="9"/>
  <c r="AZ147" i="9" s="1"/>
  <c r="AY146" i="9"/>
  <c r="AY147" i="9" s="1"/>
  <c r="AX146" i="9"/>
  <c r="AX147" i="9" s="1"/>
  <c r="AW146" i="9"/>
  <c r="AW147" i="9" s="1"/>
  <c r="AV146" i="9"/>
  <c r="AV147" i="9" s="1"/>
  <c r="AU146" i="9"/>
  <c r="AU147" i="9" s="1"/>
  <c r="AT146" i="9"/>
  <c r="AT147" i="9" s="1"/>
  <c r="AS146" i="9"/>
  <c r="AS147" i="9" s="1"/>
  <c r="AR146" i="9"/>
  <c r="AR147" i="9" s="1"/>
  <c r="AQ146" i="9"/>
  <c r="AQ147" i="9" s="1"/>
  <c r="AP146" i="9"/>
  <c r="AP147" i="9" s="1"/>
  <c r="AO146" i="9"/>
  <c r="AO147" i="9" s="1"/>
  <c r="AN146" i="9"/>
  <c r="AN147" i="9" s="1"/>
  <c r="AM146" i="9"/>
  <c r="AM147" i="9" s="1"/>
  <c r="AL146" i="9"/>
  <c r="AL147" i="9" s="1"/>
  <c r="AK146" i="9"/>
  <c r="AK147" i="9" s="1"/>
  <c r="AJ146" i="9"/>
  <c r="AJ147" i="9" s="1"/>
  <c r="AI146" i="9"/>
  <c r="AI147" i="9" s="1"/>
  <c r="AH146" i="9"/>
  <c r="AH147" i="9" s="1"/>
  <c r="AG146" i="9"/>
  <c r="AG147" i="9" s="1"/>
  <c r="AF146" i="9"/>
  <c r="AF147" i="9" s="1"/>
  <c r="AD146" i="9"/>
  <c r="AD147" i="9" s="1"/>
  <c r="AC146" i="9"/>
  <c r="AC147" i="9" s="1"/>
  <c r="AB146" i="9"/>
  <c r="AB147" i="9" s="1"/>
  <c r="AA146" i="9"/>
  <c r="AA147" i="9" s="1"/>
  <c r="Z146" i="9"/>
  <c r="Z147" i="9" s="1"/>
  <c r="Y146" i="9"/>
  <c r="Y147" i="9" s="1"/>
  <c r="X146" i="9"/>
  <c r="X147" i="9" s="1"/>
  <c r="W146" i="9"/>
  <c r="W147" i="9" s="1"/>
  <c r="V146" i="9"/>
  <c r="V147" i="9" s="1"/>
  <c r="U146" i="9"/>
  <c r="U147" i="9" s="1"/>
  <c r="T146" i="9"/>
  <c r="T147" i="9" s="1"/>
  <c r="S146" i="9"/>
  <c r="S147" i="9" s="1"/>
  <c r="R146" i="9"/>
  <c r="R147" i="9" s="1"/>
  <c r="Q146" i="9"/>
  <c r="Q147" i="9" s="1"/>
  <c r="P146" i="9"/>
  <c r="P147" i="9" s="1"/>
  <c r="O146" i="9"/>
  <c r="O147" i="9" s="1"/>
  <c r="N146" i="9"/>
  <c r="N147" i="9" s="1"/>
  <c r="M146" i="9"/>
  <c r="M147" i="9" s="1"/>
  <c r="L146" i="9"/>
  <c r="L147" i="9" s="1"/>
  <c r="K146" i="9"/>
  <c r="K147" i="9" s="1"/>
  <c r="J146" i="9"/>
  <c r="J147" i="9" s="1"/>
  <c r="I146" i="9"/>
  <c r="I147" i="9" s="1"/>
  <c r="H146" i="9"/>
  <c r="H147" i="9" s="1"/>
  <c r="G146" i="9"/>
  <c r="G147" i="9" s="1"/>
  <c r="F146" i="9"/>
  <c r="F147" i="9" s="1"/>
  <c r="E146" i="9"/>
  <c r="E147" i="9" s="1"/>
  <c r="D146" i="9"/>
  <c r="D147" i="9" s="1"/>
  <c r="C146" i="9"/>
  <c r="B143" i="9"/>
  <c r="B144" i="9" s="1"/>
  <c r="BZ142" i="9"/>
  <c r="BZ143" i="9" s="1"/>
  <c r="BZ144" i="9" s="1"/>
  <c r="BY142" i="9"/>
  <c r="BY143" i="9" s="1"/>
  <c r="BY144" i="9" s="1"/>
  <c r="BX142" i="9"/>
  <c r="BX143" i="9" s="1"/>
  <c r="BX144" i="9" s="1"/>
  <c r="BW142" i="9"/>
  <c r="BW143" i="9" s="1"/>
  <c r="BV142" i="9"/>
  <c r="BV143" i="9" s="1"/>
  <c r="BU142" i="9"/>
  <c r="BU143" i="9" s="1"/>
  <c r="BT142" i="9"/>
  <c r="BT143" i="9" s="1"/>
  <c r="BS142" i="9"/>
  <c r="BS143" i="9" s="1"/>
  <c r="BR142" i="9"/>
  <c r="BR143" i="9" s="1"/>
  <c r="BQ142" i="9"/>
  <c r="BQ143" i="9" s="1"/>
  <c r="BP142" i="9"/>
  <c r="BP143" i="9" s="1"/>
  <c r="BO142" i="9"/>
  <c r="BO143" i="9" s="1"/>
  <c r="BN142" i="9"/>
  <c r="BN143" i="9" s="1"/>
  <c r="BM142" i="9"/>
  <c r="BM143" i="9" s="1"/>
  <c r="BL142" i="9"/>
  <c r="BL143" i="9" s="1"/>
  <c r="BK142" i="9"/>
  <c r="BK143" i="9" s="1"/>
  <c r="BJ142" i="9"/>
  <c r="BJ143" i="9" s="1"/>
  <c r="BI142" i="9"/>
  <c r="BI143" i="9" s="1"/>
  <c r="BH142" i="9"/>
  <c r="BH143" i="9" s="1"/>
  <c r="BG142" i="9"/>
  <c r="BG143" i="9" s="1"/>
  <c r="BF142" i="9"/>
  <c r="BF143" i="9" s="1"/>
  <c r="BF144" i="9" s="1"/>
  <c r="BE142" i="9"/>
  <c r="BE143" i="9" s="1"/>
  <c r="BE144" i="9" s="1"/>
  <c r="BD142" i="9"/>
  <c r="BD143" i="9" s="1"/>
  <c r="BD144" i="9" s="1"/>
  <c r="BC142" i="9"/>
  <c r="BC143" i="9" s="1"/>
  <c r="BC144" i="9" s="1"/>
  <c r="BB142" i="9"/>
  <c r="BB143" i="9" s="1"/>
  <c r="BA142" i="9"/>
  <c r="BA143" i="9" s="1"/>
  <c r="AZ142" i="9"/>
  <c r="AZ143" i="9" s="1"/>
  <c r="AY142" i="9"/>
  <c r="AY143" i="9" s="1"/>
  <c r="AY144" i="9" s="1"/>
  <c r="AX142" i="9"/>
  <c r="AX143" i="9" s="1"/>
  <c r="AW142" i="9"/>
  <c r="AW143" i="9" s="1"/>
  <c r="AV142" i="9"/>
  <c r="AV143" i="9" s="1"/>
  <c r="AV144" i="9" s="1"/>
  <c r="AU142" i="9"/>
  <c r="AU143" i="9" s="1"/>
  <c r="AU144" i="9" s="1"/>
  <c r="AT142" i="9"/>
  <c r="AT143" i="9" s="1"/>
  <c r="AS142" i="9"/>
  <c r="AS143" i="9" s="1"/>
  <c r="AS144" i="9" s="1"/>
  <c r="AR142" i="9"/>
  <c r="AR143" i="9" s="1"/>
  <c r="AQ142" i="9"/>
  <c r="AQ143" i="9" s="1"/>
  <c r="AP142" i="9"/>
  <c r="AP143" i="9" s="1"/>
  <c r="AP144" i="9" s="1"/>
  <c r="AO142" i="9"/>
  <c r="AO143" i="9" s="1"/>
  <c r="AO144" i="9" s="1"/>
  <c r="AN142" i="9"/>
  <c r="AN143" i="9" s="1"/>
  <c r="AN144" i="9" s="1"/>
  <c r="AM142" i="9"/>
  <c r="AM143" i="9" s="1"/>
  <c r="AM144" i="9" s="1"/>
  <c r="AL142" i="9"/>
  <c r="AL143" i="9" s="1"/>
  <c r="AL144" i="9" s="1"/>
  <c r="AK142" i="9"/>
  <c r="AK143" i="9" s="1"/>
  <c r="AK144" i="9" s="1"/>
  <c r="AJ142" i="9"/>
  <c r="AJ143" i="9" s="1"/>
  <c r="AJ144" i="9" s="1"/>
  <c r="AI142" i="9"/>
  <c r="AI143" i="9" s="1"/>
  <c r="AI144" i="9" s="1"/>
  <c r="AH142" i="9"/>
  <c r="AH143" i="9" s="1"/>
  <c r="AG142" i="9"/>
  <c r="AG143" i="9" s="1"/>
  <c r="AF142" i="9"/>
  <c r="AF143" i="9" s="1"/>
  <c r="AD142" i="9"/>
  <c r="AD143" i="9" s="1"/>
  <c r="AC142" i="9"/>
  <c r="AC143" i="9" s="1"/>
  <c r="AB142" i="9"/>
  <c r="AB143" i="9" s="1"/>
  <c r="AA142" i="9"/>
  <c r="AA143" i="9" s="1"/>
  <c r="Z142" i="9"/>
  <c r="Z143" i="9" s="1"/>
  <c r="Y142" i="9"/>
  <c r="Y143" i="9" s="1"/>
  <c r="X142" i="9"/>
  <c r="X143" i="9" s="1"/>
  <c r="W142" i="9"/>
  <c r="W143" i="9" s="1"/>
  <c r="V142" i="9"/>
  <c r="V143" i="9" s="1"/>
  <c r="U142" i="9"/>
  <c r="U143" i="9" s="1"/>
  <c r="T142" i="9"/>
  <c r="T143" i="9" s="1"/>
  <c r="S142" i="9"/>
  <c r="S143" i="9" s="1"/>
  <c r="R142" i="9"/>
  <c r="R143" i="9" s="1"/>
  <c r="Q142" i="9"/>
  <c r="Q143" i="9" s="1"/>
  <c r="P142" i="9"/>
  <c r="P143" i="9" s="1"/>
  <c r="O142" i="9"/>
  <c r="O143" i="9" s="1"/>
  <c r="N142" i="9"/>
  <c r="N143" i="9" s="1"/>
  <c r="M142" i="9"/>
  <c r="M143" i="9" s="1"/>
  <c r="L142" i="9"/>
  <c r="L143" i="9" s="1"/>
  <c r="K142" i="9"/>
  <c r="K143" i="9" s="1"/>
  <c r="J142" i="9"/>
  <c r="J143" i="9" s="1"/>
  <c r="I142" i="9"/>
  <c r="I143" i="9" s="1"/>
  <c r="H142" i="9"/>
  <c r="H143" i="9" s="1"/>
  <c r="G142" i="9"/>
  <c r="G143" i="9" s="1"/>
  <c r="F142" i="9"/>
  <c r="F143" i="9" s="1"/>
  <c r="E142" i="9"/>
  <c r="E143" i="9" s="1"/>
  <c r="D142" i="9"/>
  <c r="D143" i="9" s="1"/>
  <c r="C142" i="9"/>
  <c r="BW140" i="9"/>
  <c r="BV140" i="9"/>
  <c r="BU140" i="9"/>
  <c r="BT140" i="9"/>
  <c r="BS140" i="9"/>
  <c r="BR140" i="9"/>
  <c r="BQ140" i="9"/>
  <c r="BP140" i="9"/>
  <c r="BO140" i="9"/>
  <c r="BN140" i="9"/>
  <c r="BM140" i="9"/>
  <c r="BL140" i="9"/>
  <c r="BK140" i="9"/>
  <c r="BJ140" i="9"/>
  <c r="BI140" i="9"/>
  <c r="BH140" i="9"/>
  <c r="BG140" i="9"/>
  <c r="BB140" i="9"/>
  <c r="BA140" i="9"/>
  <c r="AZ140" i="9"/>
  <c r="AX140" i="9"/>
  <c r="AW140" i="9"/>
  <c r="AT140" i="9"/>
  <c r="AR140" i="9"/>
  <c r="AQ140" i="9"/>
  <c r="AH140" i="9"/>
  <c r="AG140" i="9"/>
  <c r="AF140" i="9"/>
  <c r="AD140" i="9"/>
  <c r="AC140" i="9"/>
  <c r="AB140" i="9"/>
  <c r="AA140" i="9"/>
  <c r="Z140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CA140" i="9" s="1"/>
  <c r="BW139" i="9"/>
  <c r="BW144" i="9" s="1"/>
  <c r="BV139" i="9"/>
  <c r="BV144" i="9" s="1"/>
  <c r="BU139" i="9"/>
  <c r="BU144" i="9" s="1"/>
  <c r="BT139" i="9"/>
  <c r="BT144" i="9" s="1"/>
  <c r="BS139" i="9"/>
  <c r="BS144" i="9" s="1"/>
  <c r="BR139" i="9"/>
  <c r="BR144" i="9" s="1"/>
  <c r="BQ139" i="9"/>
  <c r="BQ144" i="9" s="1"/>
  <c r="BP139" i="9"/>
  <c r="BP144" i="9" s="1"/>
  <c r="BO139" i="9"/>
  <c r="BO144" i="9" s="1"/>
  <c r="BN139" i="9"/>
  <c r="BN144" i="9" s="1"/>
  <c r="BM139" i="9"/>
  <c r="BM144" i="9" s="1"/>
  <c r="BL139" i="9"/>
  <c r="BL144" i="9" s="1"/>
  <c r="BK139" i="9"/>
  <c r="BK144" i="9" s="1"/>
  <c r="BJ139" i="9"/>
  <c r="BJ144" i="9" s="1"/>
  <c r="BI139" i="9"/>
  <c r="BI144" i="9" s="1"/>
  <c r="BH139" i="9"/>
  <c r="BH144" i="9" s="1"/>
  <c r="BG139" i="9"/>
  <c r="BG144" i="9" s="1"/>
  <c r="BB139" i="9"/>
  <c r="BB144" i="9" s="1"/>
  <c r="BA139" i="9"/>
  <c r="BA144" i="9" s="1"/>
  <c r="AZ139" i="9"/>
  <c r="AZ144" i="9" s="1"/>
  <c r="AX139" i="9"/>
  <c r="AX144" i="9" s="1"/>
  <c r="AW139" i="9"/>
  <c r="AW144" i="9" s="1"/>
  <c r="AT139" i="9"/>
  <c r="AT144" i="9" s="1"/>
  <c r="AR139" i="9"/>
  <c r="AR144" i="9" s="1"/>
  <c r="AQ139" i="9"/>
  <c r="AQ144" i="9" s="1"/>
  <c r="AH139" i="9"/>
  <c r="AH144" i="9" s="1"/>
  <c r="AG139" i="9"/>
  <c r="AG144" i="9" s="1"/>
  <c r="AF139" i="9"/>
  <c r="AF144" i="9" s="1"/>
  <c r="AD139" i="9"/>
  <c r="AD144" i="9" s="1"/>
  <c r="AC139" i="9"/>
  <c r="AC144" i="9" s="1"/>
  <c r="AB139" i="9"/>
  <c r="AB144" i="9" s="1"/>
  <c r="AA139" i="9"/>
  <c r="AA144" i="9" s="1"/>
  <c r="Z139" i="9"/>
  <c r="Z144" i="9" s="1"/>
  <c r="Y139" i="9"/>
  <c r="Y144" i="9" s="1"/>
  <c r="X139" i="9"/>
  <c r="X144" i="9" s="1"/>
  <c r="W139" i="9"/>
  <c r="W144" i="9" s="1"/>
  <c r="V139" i="9"/>
  <c r="V144" i="9" s="1"/>
  <c r="U139" i="9"/>
  <c r="U144" i="9" s="1"/>
  <c r="T139" i="9"/>
  <c r="T144" i="9" s="1"/>
  <c r="S139" i="9"/>
  <c r="S144" i="9" s="1"/>
  <c r="R139" i="9"/>
  <c r="R144" i="9" s="1"/>
  <c r="Q139" i="9"/>
  <c r="Q144" i="9" s="1"/>
  <c r="P139" i="9"/>
  <c r="P144" i="9" s="1"/>
  <c r="O139" i="9"/>
  <c r="O144" i="9" s="1"/>
  <c r="N139" i="9"/>
  <c r="N144" i="9" s="1"/>
  <c r="M139" i="9"/>
  <c r="M144" i="9" s="1"/>
  <c r="L139" i="9"/>
  <c r="L144" i="9" s="1"/>
  <c r="K139" i="9"/>
  <c r="K144" i="9" s="1"/>
  <c r="J139" i="9"/>
  <c r="J144" i="9" s="1"/>
  <c r="I139" i="9"/>
  <c r="I144" i="9" s="1"/>
  <c r="H139" i="9"/>
  <c r="H144" i="9" s="1"/>
  <c r="G139" i="9"/>
  <c r="G144" i="9" s="1"/>
  <c r="F139" i="9"/>
  <c r="F144" i="9" s="1"/>
  <c r="E139" i="9"/>
  <c r="E144" i="9" s="1"/>
  <c r="D139" i="9"/>
  <c r="D144" i="9" s="1"/>
  <c r="C139" i="9"/>
  <c r="BZ137" i="9"/>
  <c r="BY137" i="9"/>
  <c r="BX137" i="9"/>
  <c r="BW137" i="9"/>
  <c r="BV137" i="9"/>
  <c r="BU137" i="9"/>
  <c r="BT137" i="9"/>
  <c r="BS137" i="9"/>
  <c r="BR137" i="9"/>
  <c r="BQ137" i="9"/>
  <c r="BP137" i="9"/>
  <c r="BO137" i="9"/>
  <c r="BN137" i="9"/>
  <c r="BM137" i="9"/>
  <c r="BL137" i="9"/>
  <c r="BK137" i="9"/>
  <c r="BJ137" i="9"/>
  <c r="BI137" i="9"/>
  <c r="BH137" i="9"/>
  <c r="BG137" i="9"/>
  <c r="BF137" i="9"/>
  <c r="BE137" i="9"/>
  <c r="BD137" i="9"/>
  <c r="BC137" i="9"/>
  <c r="BB137" i="9"/>
  <c r="BA137" i="9"/>
  <c r="AZ137" i="9"/>
  <c r="AY137" i="9"/>
  <c r="AX137" i="9"/>
  <c r="AW137" i="9"/>
  <c r="AV137" i="9"/>
  <c r="AU137" i="9"/>
  <c r="AT137" i="9"/>
  <c r="AS137" i="9"/>
  <c r="AR137" i="9"/>
  <c r="AQ137" i="9"/>
  <c r="AP137" i="9"/>
  <c r="AO137" i="9"/>
  <c r="AN137" i="9"/>
  <c r="AM137" i="9"/>
  <c r="AL137" i="9"/>
  <c r="AK137" i="9"/>
  <c r="AJ137" i="9"/>
  <c r="AI137" i="9"/>
  <c r="AH137" i="9"/>
  <c r="AG137" i="9"/>
  <c r="AF137" i="9"/>
  <c r="AD137" i="9"/>
  <c r="AC137" i="9"/>
  <c r="AB137" i="9"/>
  <c r="AA137" i="9"/>
  <c r="Z137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CA137" i="9" s="1"/>
  <c r="BZ136" i="9"/>
  <c r="BY136" i="9"/>
  <c r="BX136" i="9"/>
  <c r="BW136" i="9"/>
  <c r="BV136" i="9"/>
  <c r="BU136" i="9"/>
  <c r="BT136" i="9"/>
  <c r="BS136" i="9"/>
  <c r="BR136" i="9"/>
  <c r="BQ136" i="9"/>
  <c r="BP136" i="9"/>
  <c r="BO136" i="9"/>
  <c r="BN136" i="9"/>
  <c r="BM136" i="9"/>
  <c r="BL136" i="9"/>
  <c r="BK136" i="9"/>
  <c r="BJ136" i="9"/>
  <c r="BI136" i="9"/>
  <c r="BH136" i="9"/>
  <c r="BG136" i="9"/>
  <c r="BF136" i="9"/>
  <c r="BE136" i="9"/>
  <c r="BD136" i="9"/>
  <c r="BC136" i="9"/>
  <c r="BB136" i="9"/>
  <c r="BA136" i="9"/>
  <c r="AZ136" i="9"/>
  <c r="AY136" i="9"/>
  <c r="AX136" i="9"/>
  <c r="AW136" i="9"/>
  <c r="AV136" i="9"/>
  <c r="AU136" i="9"/>
  <c r="AT136" i="9"/>
  <c r="AS136" i="9"/>
  <c r="AR136" i="9"/>
  <c r="AQ136" i="9"/>
  <c r="AP136" i="9"/>
  <c r="AO136" i="9"/>
  <c r="AN136" i="9"/>
  <c r="AM136" i="9"/>
  <c r="AL136" i="9"/>
  <c r="AK136" i="9"/>
  <c r="AJ136" i="9"/>
  <c r="AI136" i="9"/>
  <c r="AH136" i="9"/>
  <c r="AG136" i="9"/>
  <c r="AF136" i="9"/>
  <c r="AD136" i="9"/>
  <c r="AC136" i="9"/>
  <c r="AB136" i="9"/>
  <c r="AA136" i="9"/>
  <c r="Z136" i="9"/>
  <c r="Y136" i="9"/>
  <c r="X136" i="9"/>
  <c r="W136" i="9"/>
  <c r="V136" i="9"/>
  <c r="U136" i="9"/>
  <c r="T136" i="9"/>
  <c r="S136" i="9"/>
  <c r="R136" i="9"/>
  <c r="Q136" i="9"/>
  <c r="P136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C136" i="9"/>
  <c r="CA136" i="9" s="1"/>
  <c r="BZ135" i="9"/>
  <c r="BY135" i="9"/>
  <c r="BX135" i="9"/>
  <c r="BW135" i="9"/>
  <c r="BV135" i="9"/>
  <c r="BU135" i="9"/>
  <c r="BT135" i="9"/>
  <c r="BS135" i="9"/>
  <c r="BR135" i="9"/>
  <c r="BQ135" i="9"/>
  <c r="BP135" i="9"/>
  <c r="BO135" i="9"/>
  <c r="BN135" i="9"/>
  <c r="BM135" i="9"/>
  <c r="BL135" i="9"/>
  <c r="BK135" i="9"/>
  <c r="BJ135" i="9"/>
  <c r="BI135" i="9"/>
  <c r="BH135" i="9"/>
  <c r="BG135" i="9"/>
  <c r="BF135" i="9"/>
  <c r="BE135" i="9"/>
  <c r="BD135" i="9"/>
  <c r="BC135" i="9"/>
  <c r="BB135" i="9"/>
  <c r="BA135" i="9"/>
  <c r="AZ135" i="9"/>
  <c r="AY135" i="9"/>
  <c r="AX135" i="9"/>
  <c r="AW135" i="9"/>
  <c r="AV135" i="9"/>
  <c r="AU135" i="9"/>
  <c r="AT135" i="9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D135" i="9"/>
  <c r="AC135" i="9"/>
  <c r="AB135" i="9"/>
  <c r="AA135" i="9"/>
  <c r="Z135" i="9"/>
  <c r="Y135" i="9"/>
  <c r="X135" i="9"/>
  <c r="W135" i="9"/>
  <c r="V135" i="9"/>
  <c r="U135" i="9"/>
  <c r="T135" i="9"/>
  <c r="S135" i="9"/>
  <c r="R135" i="9"/>
  <c r="Q135" i="9"/>
  <c r="P135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C135" i="9"/>
  <c r="CA135" i="9" s="1"/>
  <c r="BZ134" i="9"/>
  <c r="BY134" i="9"/>
  <c r="BX134" i="9"/>
  <c r="BW134" i="9"/>
  <c r="BV134" i="9"/>
  <c r="BU134" i="9"/>
  <c r="BT134" i="9"/>
  <c r="BS134" i="9"/>
  <c r="BR134" i="9"/>
  <c r="BQ134" i="9"/>
  <c r="BP134" i="9"/>
  <c r="BO134" i="9"/>
  <c r="BN134" i="9"/>
  <c r="BM134" i="9"/>
  <c r="BL134" i="9"/>
  <c r="BK134" i="9"/>
  <c r="BJ134" i="9"/>
  <c r="BI134" i="9"/>
  <c r="BH134" i="9"/>
  <c r="BG134" i="9"/>
  <c r="BF134" i="9"/>
  <c r="BE134" i="9"/>
  <c r="BD134" i="9"/>
  <c r="BC134" i="9"/>
  <c r="BB134" i="9"/>
  <c r="BA134" i="9"/>
  <c r="AZ134" i="9"/>
  <c r="AY134" i="9"/>
  <c r="AX134" i="9"/>
  <c r="AW134" i="9"/>
  <c r="AV134" i="9"/>
  <c r="AU134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D134" i="9"/>
  <c r="AC134" i="9"/>
  <c r="AB134" i="9"/>
  <c r="AA134" i="9"/>
  <c r="Z134" i="9"/>
  <c r="Y134" i="9"/>
  <c r="X134" i="9"/>
  <c r="W134" i="9"/>
  <c r="V134" i="9"/>
  <c r="U134" i="9"/>
  <c r="T134" i="9"/>
  <c r="S134" i="9"/>
  <c r="R134" i="9"/>
  <c r="Q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CA134" i="9" s="1"/>
  <c r="B133" i="9"/>
  <c r="BZ132" i="9"/>
  <c r="BY132" i="9"/>
  <c r="BX132" i="9"/>
  <c r="BW132" i="9"/>
  <c r="BV132" i="9"/>
  <c r="BU132" i="9"/>
  <c r="BT132" i="9"/>
  <c r="BS132" i="9"/>
  <c r="BR132" i="9"/>
  <c r="BQ132" i="9"/>
  <c r="BP132" i="9"/>
  <c r="BO132" i="9"/>
  <c r="BN132" i="9"/>
  <c r="BM132" i="9"/>
  <c r="BL132" i="9"/>
  <c r="BK132" i="9"/>
  <c r="BJ132" i="9"/>
  <c r="BI132" i="9"/>
  <c r="BH132" i="9"/>
  <c r="BG132" i="9"/>
  <c r="BF132" i="9"/>
  <c r="BE132" i="9"/>
  <c r="BD132" i="9"/>
  <c r="BC132" i="9"/>
  <c r="BB132" i="9"/>
  <c r="BA132" i="9"/>
  <c r="AZ132" i="9"/>
  <c r="AY132" i="9"/>
  <c r="AX132" i="9"/>
  <c r="AW132" i="9"/>
  <c r="AV132" i="9"/>
  <c r="AU132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D132" i="9"/>
  <c r="AC132" i="9"/>
  <c r="AB132" i="9"/>
  <c r="AA132" i="9"/>
  <c r="Z132" i="9"/>
  <c r="Y132" i="9"/>
  <c r="X132" i="9"/>
  <c r="W132" i="9"/>
  <c r="V132" i="9"/>
  <c r="U132" i="9"/>
  <c r="T132" i="9"/>
  <c r="S132" i="9"/>
  <c r="R132" i="9"/>
  <c r="Q132" i="9"/>
  <c r="P132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CA132" i="9" s="1"/>
  <c r="BZ131" i="9"/>
  <c r="BY131" i="9"/>
  <c r="BX131" i="9"/>
  <c r="BW131" i="9"/>
  <c r="BV131" i="9"/>
  <c r="BU131" i="9"/>
  <c r="BT131" i="9"/>
  <c r="BS131" i="9"/>
  <c r="BR131" i="9"/>
  <c r="BQ131" i="9"/>
  <c r="BP131" i="9"/>
  <c r="BO131" i="9"/>
  <c r="BN131" i="9"/>
  <c r="BM131" i="9"/>
  <c r="BL131" i="9"/>
  <c r="BK131" i="9"/>
  <c r="BJ131" i="9"/>
  <c r="BI131" i="9"/>
  <c r="BH131" i="9"/>
  <c r="BG131" i="9"/>
  <c r="BF131" i="9"/>
  <c r="BE131" i="9"/>
  <c r="BD131" i="9"/>
  <c r="BC131" i="9"/>
  <c r="BB131" i="9"/>
  <c r="BA131" i="9"/>
  <c r="AZ131" i="9"/>
  <c r="AY131" i="9"/>
  <c r="AX131" i="9"/>
  <c r="AW131" i="9"/>
  <c r="AV131" i="9"/>
  <c r="AU131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D131" i="9"/>
  <c r="AC131" i="9"/>
  <c r="AB131" i="9"/>
  <c r="AA131" i="9"/>
  <c r="Z131" i="9"/>
  <c r="Y131" i="9"/>
  <c r="X131" i="9"/>
  <c r="W131" i="9"/>
  <c r="V131" i="9"/>
  <c r="U131" i="9"/>
  <c r="T131" i="9"/>
  <c r="S131" i="9"/>
  <c r="R131" i="9"/>
  <c r="Q131" i="9"/>
  <c r="P131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CA131" i="9" s="1"/>
  <c r="BZ130" i="9"/>
  <c r="BY130" i="9"/>
  <c r="BX130" i="9"/>
  <c r="BW130" i="9"/>
  <c r="BV130" i="9"/>
  <c r="BU130" i="9"/>
  <c r="BT130" i="9"/>
  <c r="BS130" i="9"/>
  <c r="BR130" i="9"/>
  <c r="BQ130" i="9"/>
  <c r="BP130" i="9"/>
  <c r="BO130" i="9"/>
  <c r="BN130" i="9"/>
  <c r="BM130" i="9"/>
  <c r="BL130" i="9"/>
  <c r="BK130" i="9"/>
  <c r="BJ130" i="9"/>
  <c r="BI130" i="9"/>
  <c r="BH130" i="9"/>
  <c r="BG130" i="9"/>
  <c r="BF130" i="9"/>
  <c r="BE130" i="9"/>
  <c r="BD130" i="9"/>
  <c r="BC130" i="9"/>
  <c r="BB130" i="9"/>
  <c r="BA130" i="9"/>
  <c r="AZ130" i="9"/>
  <c r="AY130" i="9"/>
  <c r="AX130" i="9"/>
  <c r="AW130" i="9"/>
  <c r="AV130" i="9"/>
  <c r="AU130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D130" i="9"/>
  <c r="AC130" i="9"/>
  <c r="AB130" i="9"/>
  <c r="AA130" i="9"/>
  <c r="Z130" i="9"/>
  <c r="Y130" i="9"/>
  <c r="X130" i="9"/>
  <c r="W130" i="9"/>
  <c r="V130" i="9"/>
  <c r="U130" i="9"/>
  <c r="T130" i="9"/>
  <c r="S130" i="9"/>
  <c r="R130" i="9"/>
  <c r="Q130" i="9"/>
  <c r="P130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CA130" i="9" s="1"/>
  <c r="BZ129" i="9"/>
  <c r="BY129" i="9"/>
  <c r="BX129" i="9"/>
  <c r="BW129" i="9"/>
  <c r="BV129" i="9"/>
  <c r="BU129" i="9"/>
  <c r="BT129" i="9"/>
  <c r="BS129" i="9"/>
  <c r="BR129" i="9"/>
  <c r="BQ129" i="9"/>
  <c r="BP129" i="9"/>
  <c r="BO129" i="9"/>
  <c r="BN129" i="9"/>
  <c r="BM129" i="9"/>
  <c r="BL129" i="9"/>
  <c r="BK129" i="9"/>
  <c r="BJ129" i="9"/>
  <c r="BI129" i="9"/>
  <c r="BH129" i="9"/>
  <c r="BG129" i="9"/>
  <c r="BF129" i="9"/>
  <c r="BE129" i="9"/>
  <c r="BD129" i="9"/>
  <c r="BC129" i="9"/>
  <c r="BB129" i="9"/>
  <c r="BA129" i="9"/>
  <c r="AZ129" i="9"/>
  <c r="AY129" i="9"/>
  <c r="AX129" i="9"/>
  <c r="AW129" i="9"/>
  <c r="AV129" i="9"/>
  <c r="AU129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D129" i="9"/>
  <c r="AC129" i="9"/>
  <c r="AB129" i="9"/>
  <c r="AA129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CA129" i="9" s="1"/>
  <c r="BZ128" i="9"/>
  <c r="BY128" i="9"/>
  <c r="BX128" i="9"/>
  <c r="BW128" i="9"/>
  <c r="BV128" i="9"/>
  <c r="BU128" i="9"/>
  <c r="BT128" i="9"/>
  <c r="BS128" i="9"/>
  <c r="BR128" i="9"/>
  <c r="BQ128" i="9"/>
  <c r="BP128" i="9"/>
  <c r="BO128" i="9"/>
  <c r="BN128" i="9"/>
  <c r="BM128" i="9"/>
  <c r="BL128" i="9"/>
  <c r="BK128" i="9"/>
  <c r="BJ128" i="9"/>
  <c r="BI128" i="9"/>
  <c r="BH128" i="9"/>
  <c r="BG128" i="9"/>
  <c r="BF128" i="9"/>
  <c r="BE128" i="9"/>
  <c r="BD128" i="9"/>
  <c r="BC128" i="9"/>
  <c r="BB128" i="9"/>
  <c r="BA128" i="9"/>
  <c r="AZ128" i="9"/>
  <c r="AY128" i="9"/>
  <c r="AX128" i="9"/>
  <c r="AW128" i="9"/>
  <c r="AV128" i="9"/>
  <c r="AU128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D128" i="9"/>
  <c r="AC128" i="9"/>
  <c r="AB128" i="9"/>
  <c r="AA128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CA128" i="9" s="1"/>
  <c r="BZ127" i="9"/>
  <c r="BY127" i="9"/>
  <c r="BX127" i="9"/>
  <c r="BW127" i="9"/>
  <c r="BV127" i="9"/>
  <c r="BU127" i="9"/>
  <c r="BT127" i="9"/>
  <c r="BS127" i="9"/>
  <c r="BR127" i="9"/>
  <c r="BQ127" i="9"/>
  <c r="BP127" i="9"/>
  <c r="BO127" i="9"/>
  <c r="BN127" i="9"/>
  <c r="BM127" i="9"/>
  <c r="BL127" i="9"/>
  <c r="BK127" i="9"/>
  <c r="BJ127" i="9"/>
  <c r="BI127" i="9"/>
  <c r="BH127" i="9"/>
  <c r="BG127" i="9"/>
  <c r="BF127" i="9"/>
  <c r="BE127" i="9"/>
  <c r="BD127" i="9"/>
  <c r="BC127" i="9"/>
  <c r="BB127" i="9"/>
  <c r="BA127" i="9"/>
  <c r="AZ127" i="9"/>
  <c r="AY127" i="9"/>
  <c r="AX127" i="9"/>
  <c r="AW127" i="9"/>
  <c r="AV127" i="9"/>
  <c r="AU127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D127" i="9"/>
  <c r="AC127" i="9"/>
  <c r="AB127" i="9"/>
  <c r="AA127" i="9"/>
  <c r="Z127" i="9"/>
  <c r="Y127" i="9"/>
  <c r="X127" i="9"/>
  <c r="W127" i="9"/>
  <c r="V127" i="9"/>
  <c r="U127" i="9"/>
  <c r="T127" i="9"/>
  <c r="S127" i="9"/>
  <c r="R127" i="9"/>
  <c r="Q127" i="9"/>
  <c r="P127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CA127" i="9" s="1"/>
  <c r="BI126" i="9"/>
  <c r="BI133" i="9" s="1"/>
  <c r="BH126" i="9"/>
  <c r="BH133" i="9" s="1"/>
  <c r="BG126" i="9"/>
  <c r="BG133" i="9" s="1"/>
  <c r="CC125" i="9"/>
  <c r="B124" i="9"/>
  <c r="BZ123" i="9"/>
  <c r="BY123" i="9"/>
  <c r="BX123" i="9"/>
  <c r="BW123" i="9"/>
  <c r="BV123" i="9"/>
  <c r="BU123" i="9"/>
  <c r="BT123" i="9"/>
  <c r="BS123" i="9"/>
  <c r="BR123" i="9"/>
  <c r="BQ123" i="9"/>
  <c r="BP123" i="9"/>
  <c r="BO123" i="9"/>
  <c r="BN123" i="9"/>
  <c r="BM123" i="9"/>
  <c r="BL123" i="9"/>
  <c r="BK123" i="9"/>
  <c r="BJ123" i="9"/>
  <c r="BI123" i="9"/>
  <c r="BH123" i="9"/>
  <c r="BG123" i="9"/>
  <c r="BF123" i="9"/>
  <c r="BE123" i="9"/>
  <c r="BD123" i="9"/>
  <c r="BC123" i="9"/>
  <c r="BB123" i="9"/>
  <c r="BA123" i="9"/>
  <c r="AZ123" i="9"/>
  <c r="AY123" i="9"/>
  <c r="AX123" i="9"/>
  <c r="AW123" i="9"/>
  <c r="AV123" i="9"/>
  <c r="AU123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D123" i="9"/>
  <c r="AC123" i="9"/>
  <c r="AB123" i="9"/>
  <c r="AA123" i="9"/>
  <c r="Z123" i="9"/>
  <c r="Y123" i="9"/>
  <c r="X123" i="9"/>
  <c r="W123" i="9"/>
  <c r="V123" i="9"/>
  <c r="U123" i="9"/>
  <c r="T123" i="9"/>
  <c r="S123" i="9"/>
  <c r="R123" i="9"/>
  <c r="Q123" i="9"/>
  <c r="P123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CA123" i="9" s="1"/>
  <c r="BZ121" i="9"/>
  <c r="BY121" i="9"/>
  <c r="BX121" i="9"/>
  <c r="BW121" i="9"/>
  <c r="BV121" i="9"/>
  <c r="BU121" i="9"/>
  <c r="BT121" i="9"/>
  <c r="BS121" i="9"/>
  <c r="BR121" i="9"/>
  <c r="BQ121" i="9"/>
  <c r="BP121" i="9"/>
  <c r="BO121" i="9"/>
  <c r="BN121" i="9"/>
  <c r="BM121" i="9"/>
  <c r="BL121" i="9"/>
  <c r="BK121" i="9"/>
  <c r="BJ121" i="9"/>
  <c r="BI121" i="9"/>
  <c r="BH121" i="9"/>
  <c r="BG121" i="9"/>
  <c r="BF121" i="9"/>
  <c r="BE121" i="9"/>
  <c r="BD121" i="9"/>
  <c r="BC121" i="9"/>
  <c r="BB121" i="9"/>
  <c r="BA121" i="9"/>
  <c r="AZ121" i="9"/>
  <c r="AY121" i="9"/>
  <c r="AX121" i="9"/>
  <c r="AW121" i="9"/>
  <c r="AV121" i="9"/>
  <c r="AU121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D121" i="9"/>
  <c r="AC121" i="9"/>
  <c r="AB121" i="9"/>
  <c r="AA121" i="9"/>
  <c r="Z121" i="9"/>
  <c r="Y121" i="9"/>
  <c r="X121" i="9"/>
  <c r="W121" i="9"/>
  <c r="V121" i="9"/>
  <c r="U121" i="9"/>
  <c r="T121" i="9"/>
  <c r="S121" i="9"/>
  <c r="R121" i="9"/>
  <c r="Q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BW119" i="9"/>
  <c r="BV119" i="9"/>
  <c r="BU119" i="9"/>
  <c r="BT119" i="9"/>
  <c r="BS119" i="9"/>
  <c r="BR119" i="9"/>
  <c r="BQ119" i="9"/>
  <c r="BP119" i="9"/>
  <c r="BO119" i="9"/>
  <c r="BN119" i="9"/>
  <c r="BM119" i="9"/>
  <c r="BL119" i="9"/>
  <c r="BK119" i="9"/>
  <c r="BJ119" i="9"/>
  <c r="BI119" i="9"/>
  <c r="BH119" i="9"/>
  <c r="BG119" i="9"/>
  <c r="BB119" i="9"/>
  <c r="BA119" i="9"/>
  <c r="AZ119" i="9"/>
  <c r="AX119" i="9"/>
  <c r="AW119" i="9"/>
  <c r="AT119" i="9"/>
  <c r="AR119" i="9"/>
  <c r="AQ119" i="9"/>
  <c r="AH119" i="9"/>
  <c r="AG119" i="9"/>
  <c r="AF119" i="9"/>
  <c r="AD119" i="9"/>
  <c r="AC119" i="9"/>
  <c r="AB119" i="9"/>
  <c r="AA119" i="9"/>
  <c r="Z119" i="9"/>
  <c r="Y119" i="9"/>
  <c r="X119" i="9"/>
  <c r="W119" i="9"/>
  <c r="V119" i="9"/>
  <c r="U119" i="9"/>
  <c r="T119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CA119" i="9" s="1"/>
  <c r="BZ118" i="9"/>
  <c r="BY118" i="9"/>
  <c r="BX118" i="9"/>
  <c r="BW118" i="9"/>
  <c r="BV118" i="9"/>
  <c r="BU118" i="9"/>
  <c r="BT118" i="9"/>
  <c r="BS118" i="9"/>
  <c r="BR118" i="9"/>
  <c r="BQ118" i="9"/>
  <c r="BP118" i="9"/>
  <c r="BO118" i="9"/>
  <c r="BN118" i="9"/>
  <c r="BM118" i="9"/>
  <c r="BL118" i="9"/>
  <c r="BK118" i="9"/>
  <c r="BJ118" i="9"/>
  <c r="BI118" i="9"/>
  <c r="BH118" i="9"/>
  <c r="BG118" i="9"/>
  <c r="BF118" i="9"/>
  <c r="BE118" i="9"/>
  <c r="BD118" i="9"/>
  <c r="BC118" i="9"/>
  <c r="BB118" i="9"/>
  <c r="BA118" i="9"/>
  <c r="AZ118" i="9"/>
  <c r="AY118" i="9"/>
  <c r="AX118" i="9"/>
  <c r="AW118" i="9"/>
  <c r="AV118" i="9"/>
  <c r="AU118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D118" i="9"/>
  <c r="AC118" i="9"/>
  <c r="AB118" i="9"/>
  <c r="AA118" i="9"/>
  <c r="Z118" i="9"/>
  <c r="Y118" i="9"/>
  <c r="X118" i="9"/>
  <c r="W118" i="9"/>
  <c r="V118" i="9"/>
  <c r="U118" i="9"/>
  <c r="T118" i="9"/>
  <c r="S118" i="9"/>
  <c r="R118" i="9"/>
  <c r="Q118" i="9"/>
  <c r="P118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CA118" i="9" s="1"/>
  <c r="B117" i="9"/>
  <c r="BZ116" i="9"/>
  <c r="BZ117" i="9" s="1"/>
  <c r="BY116" i="9"/>
  <c r="BY117" i="9" s="1"/>
  <c r="BX116" i="9"/>
  <c r="BX117" i="9" s="1"/>
  <c r="BW116" i="9"/>
  <c r="BW117" i="9" s="1"/>
  <c r="BV116" i="9"/>
  <c r="BV117" i="9" s="1"/>
  <c r="BU116" i="9"/>
  <c r="BU117" i="9" s="1"/>
  <c r="BT116" i="9"/>
  <c r="BT117" i="9" s="1"/>
  <c r="BS116" i="9"/>
  <c r="BS117" i="9" s="1"/>
  <c r="BR116" i="9"/>
  <c r="BR117" i="9" s="1"/>
  <c r="BQ116" i="9"/>
  <c r="BQ117" i="9" s="1"/>
  <c r="BP116" i="9"/>
  <c r="BP117" i="9" s="1"/>
  <c r="BO116" i="9"/>
  <c r="BO117" i="9" s="1"/>
  <c r="BN116" i="9"/>
  <c r="BN117" i="9" s="1"/>
  <c r="BM116" i="9"/>
  <c r="BM117" i="9" s="1"/>
  <c r="BL116" i="9"/>
  <c r="BL117" i="9" s="1"/>
  <c r="BK116" i="9"/>
  <c r="BK117" i="9" s="1"/>
  <c r="BJ116" i="9"/>
  <c r="BJ117" i="9" s="1"/>
  <c r="BI116" i="9"/>
  <c r="BI117" i="9" s="1"/>
  <c r="BH116" i="9"/>
  <c r="BH117" i="9" s="1"/>
  <c r="BG116" i="9"/>
  <c r="BG117" i="9" s="1"/>
  <c r="BF116" i="9"/>
  <c r="BF117" i="9" s="1"/>
  <c r="BE116" i="9"/>
  <c r="BE117" i="9" s="1"/>
  <c r="BD116" i="9"/>
  <c r="BD117" i="9" s="1"/>
  <c r="BC116" i="9"/>
  <c r="BC117" i="9" s="1"/>
  <c r="BB116" i="9"/>
  <c r="BB117" i="9" s="1"/>
  <c r="BA116" i="9"/>
  <c r="BA117" i="9" s="1"/>
  <c r="AZ116" i="9"/>
  <c r="AZ117" i="9" s="1"/>
  <c r="AY116" i="9"/>
  <c r="AY117" i="9" s="1"/>
  <c r="AX116" i="9"/>
  <c r="AX117" i="9" s="1"/>
  <c r="AW116" i="9"/>
  <c r="AW117" i="9" s="1"/>
  <c r="AV116" i="9"/>
  <c r="AV117" i="9" s="1"/>
  <c r="AU116" i="9"/>
  <c r="AU117" i="9" s="1"/>
  <c r="AT116" i="9"/>
  <c r="AT117" i="9" s="1"/>
  <c r="AS116" i="9"/>
  <c r="AS117" i="9" s="1"/>
  <c r="AR116" i="9"/>
  <c r="AR117" i="9" s="1"/>
  <c r="AQ116" i="9"/>
  <c r="AQ117" i="9" s="1"/>
  <c r="AP116" i="9"/>
  <c r="AP117" i="9" s="1"/>
  <c r="AO116" i="9"/>
  <c r="AO117" i="9" s="1"/>
  <c r="AN116" i="9"/>
  <c r="AN117" i="9" s="1"/>
  <c r="AM116" i="9"/>
  <c r="AM117" i="9" s="1"/>
  <c r="AL116" i="9"/>
  <c r="AL117" i="9" s="1"/>
  <c r="AK116" i="9"/>
  <c r="AK117" i="9" s="1"/>
  <c r="AJ116" i="9"/>
  <c r="AJ117" i="9" s="1"/>
  <c r="AI116" i="9"/>
  <c r="AI117" i="9" s="1"/>
  <c r="AH116" i="9"/>
  <c r="AH117" i="9" s="1"/>
  <c r="AG116" i="9"/>
  <c r="AG117" i="9" s="1"/>
  <c r="AF116" i="9"/>
  <c r="AF117" i="9" s="1"/>
  <c r="AD116" i="9"/>
  <c r="AD117" i="9" s="1"/>
  <c r="AC116" i="9"/>
  <c r="AC117" i="9" s="1"/>
  <c r="AB116" i="9"/>
  <c r="AB117" i="9" s="1"/>
  <c r="AA116" i="9"/>
  <c r="AA117" i="9" s="1"/>
  <c r="Z116" i="9"/>
  <c r="Z117" i="9" s="1"/>
  <c r="Y116" i="9"/>
  <c r="Y117" i="9" s="1"/>
  <c r="X116" i="9"/>
  <c r="X117" i="9" s="1"/>
  <c r="W116" i="9"/>
  <c r="W117" i="9" s="1"/>
  <c r="V116" i="9"/>
  <c r="V117" i="9" s="1"/>
  <c r="U116" i="9"/>
  <c r="U117" i="9" s="1"/>
  <c r="T116" i="9"/>
  <c r="T117" i="9" s="1"/>
  <c r="S116" i="9"/>
  <c r="S117" i="9" s="1"/>
  <c r="R116" i="9"/>
  <c r="R117" i="9" s="1"/>
  <c r="Q116" i="9"/>
  <c r="Q117" i="9" s="1"/>
  <c r="P116" i="9"/>
  <c r="P117" i="9" s="1"/>
  <c r="O116" i="9"/>
  <c r="O117" i="9" s="1"/>
  <c r="N116" i="9"/>
  <c r="N117" i="9" s="1"/>
  <c r="M116" i="9"/>
  <c r="M117" i="9" s="1"/>
  <c r="L116" i="9"/>
  <c r="L117" i="9" s="1"/>
  <c r="K116" i="9"/>
  <c r="K117" i="9" s="1"/>
  <c r="J116" i="9"/>
  <c r="J117" i="9" s="1"/>
  <c r="I116" i="9"/>
  <c r="I117" i="9" s="1"/>
  <c r="H116" i="9"/>
  <c r="H117" i="9" s="1"/>
  <c r="G116" i="9"/>
  <c r="G117" i="9" s="1"/>
  <c r="F116" i="9"/>
  <c r="F117" i="9" s="1"/>
  <c r="E116" i="9"/>
  <c r="E117" i="9" s="1"/>
  <c r="D116" i="9"/>
  <c r="D117" i="9" s="1"/>
  <c r="C116" i="9"/>
  <c r="BZ114" i="9"/>
  <c r="BY114" i="9"/>
  <c r="BX114" i="9"/>
  <c r="BF114" i="9"/>
  <c r="BE114" i="9"/>
  <c r="BD114" i="9"/>
  <c r="BC114" i="9"/>
  <c r="AY114" i="9"/>
  <c r="AV114" i="9"/>
  <c r="AU114" i="9"/>
  <c r="AS114" i="9"/>
  <c r="AP114" i="9"/>
  <c r="AO114" i="9"/>
  <c r="AN114" i="9"/>
  <c r="AM114" i="9"/>
  <c r="AL114" i="9"/>
  <c r="AK114" i="9"/>
  <c r="AJ114" i="9"/>
  <c r="AI114" i="9"/>
  <c r="B114" i="9"/>
  <c r="BW113" i="9"/>
  <c r="BV113" i="9"/>
  <c r="BU113" i="9"/>
  <c r="BT113" i="9"/>
  <c r="BS113" i="9"/>
  <c r="BR113" i="9"/>
  <c r="BQ113" i="9"/>
  <c r="BP113" i="9"/>
  <c r="BO113" i="9"/>
  <c r="BN113" i="9"/>
  <c r="BM113" i="9"/>
  <c r="BL113" i="9"/>
  <c r="BK113" i="9"/>
  <c r="BJ113" i="9"/>
  <c r="BI113" i="9"/>
  <c r="BH113" i="9"/>
  <c r="BG113" i="9"/>
  <c r="BB113" i="9"/>
  <c r="BA113" i="9"/>
  <c r="AZ113" i="9"/>
  <c r="AX113" i="9"/>
  <c r="AW113" i="9"/>
  <c r="AT113" i="9"/>
  <c r="AR113" i="9"/>
  <c r="AQ113" i="9"/>
  <c r="AH113" i="9"/>
  <c r="AG113" i="9"/>
  <c r="AF113" i="9"/>
  <c r="AD113" i="9"/>
  <c r="AC113" i="9"/>
  <c r="AB113" i="9"/>
  <c r="AA113" i="9"/>
  <c r="Z113" i="9"/>
  <c r="Y113" i="9"/>
  <c r="X113" i="9"/>
  <c r="W113" i="9"/>
  <c r="V113" i="9"/>
  <c r="U113" i="9"/>
  <c r="T113" i="9"/>
  <c r="S113" i="9"/>
  <c r="R113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CA113" i="9" s="1"/>
  <c r="BW112" i="9"/>
  <c r="BV112" i="9"/>
  <c r="BU112" i="9"/>
  <c r="BT112" i="9"/>
  <c r="BS112" i="9"/>
  <c r="BR112" i="9"/>
  <c r="BQ112" i="9"/>
  <c r="BP112" i="9"/>
  <c r="BO112" i="9"/>
  <c r="BN112" i="9"/>
  <c r="BM112" i="9"/>
  <c r="BL112" i="9"/>
  <c r="BK112" i="9"/>
  <c r="BJ112" i="9"/>
  <c r="BI112" i="9"/>
  <c r="BH112" i="9"/>
  <c r="BG112" i="9"/>
  <c r="BB112" i="9"/>
  <c r="BA112" i="9"/>
  <c r="AZ112" i="9"/>
  <c r="AX112" i="9"/>
  <c r="AW112" i="9"/>
  <c r="AT112" i="9"/>
  <c r="AR112" i="9"/>
  <c r="AQ112" i="9"/>
  <c r="AH112" i="9"/>
  <c r="AG112" i="9"/>
  <c r="AF112" i="9"/>
  <c r="AD112" i="9"/>
  <c r="AC112" i="9"/>
  <c r="AB112" i="9"/>
  <c r="AA112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CA112" i="9" s="1"/>
  <c r="BW111" i="9"/>
  <c r="BV111" i="9"/>
  <c r="BU111" i="9"/>
  <c r="BT111" i="9"/>
  <c r="BS111" i="9"/>
  <c r="BR111" i="9"/>
  <c r="BQ111" i="9"/>
  <c r="BP111" i="9"/>
  <c r="BO111" i="9"/>
  <c r="BN111" i="9"/>
  <c r="BM111" i="9"/>
  <c r="BL111" i="9"/>
  <c r="BK111" i="9"/>
  <c r="BJ111" i="9"/>
  <c r="BI111" i="9"/>
  <c r="BH111" i="9"/>
  <c r="BG111" i="9"/>
  <c r="BB111" i="9"/>
  <c r="BA111" i="9"/>
  <c r="AZ111" i="9"/>
  <c r="AX111" i="9"/>
  <c r="AW111" i="9"/>
  <c r="AT111" i="9"/>
  <c r="AR111" i="9"/>
  <c r="AQ111" i="9"/>
  <c r="AH111" i="9"/>
  <c r="AG111" i="9"/>
  <c r="AF111" i="9"/>
  <c r="AD111" i="9"/>
  <c r="AC111" i="9"/>
  <c r="AB111" i="9"/>
  <c r="AA111" i="9"/>
  <c r="Z111" i="9"/>
  <c r="Y111" i="9"/>
  <c r="X111" i="9"/>
  <c r="W111" i="9"/>
  <c r="V111" i="9"/>
  <c r="U111" i="9"/>
  <c r="T111" i="9"/>
  <c r="S111" i="9"/>
  <c r="R111" i="9"/>
  <c r="Q111" i="9"/>
  <c r="P111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CA111" i="9" s="1"/>
  <c r="BW110" i="9"/>
  <c r="BW114" i="9" s="1"/>
  <c r="BV110" i="9"/>
  <c r="BV114" i="9" s="1"/>
  <c r="BU110" i="9"/>
  <c r="BU114" i="9" s="1"/>
  <c r="BT110" i="9"/>
  <c r="BT114" i="9" s="1"/>
  <c r="BS110" i="9"/>
  <c r="BS114" i="9" s="1"/>
  <c r="BR110" i="9"/>
  <c r="BR114" i="9" s="1"/>
  <c r="BQ110" i="9"/>
  <c r="BQ114" i="9" s="1"/>
  <c r="BP110" i="9"/>
  <c r="BP114" i="9" s="1"/>
  <c r="BO110" i="9"/>
  <c r="BO114" i="9" s="1"/>
  <c r="BN110" i="9"/>
  <c r="BN114" i="9" s="1"/>
  <c r="BM110" i="9"/>
  <c r="BM114" i="9" s="1"/>
  <c r="BL110" i="9"/>
  <c r="BL114" i="9" s="1"/>
  <c r="BK110" i="9"/>
  <c r="BK114" i="9" s="1"/>
  <c r="BJ110" i="9"/>
  <c r="BJ114" i="9" s="1"/>
  <c r="BI110" i="9"/>
  <c r="BI114" i="9" s="1"/>
  <c r="BH110" i="9"/>
  <c r="BH114" i="9" s="1"/>
  <c r="BG110" i="9"/>
  <c r="BG114" i="9" s="1"/>
  <c r="BB110" i="9"/>
  <c r="BB114" i="9" s="1"/>
  <c r="BA110" i="9"/>
  <c r="BA114" i="9" s="1"/>
  <c r="AZ110" i="9"/>
  <c r="AZ114" i="9" s="1"/>
  <c r="AX110" i="9"/>
  <c r="AX114" i="9" s="1"/>
  <c r="AW110" i="9"/>
  <c r="AW114" i="9" s="1"/>
  <c r="AT110" i="9"/>
  <c r="AT114" i="9" s="1"/>
  <c r="AR110" i="9"/>
  <c r="AR114" i="9" s="1"/>
  <c r="AQ110" i="9"/>
  <c r="AQ114" i="9" s="1"/>
  <c r="AH110" i="9"/>
  <c r="AH114" i="9" s="1"/>
  <c r="AG110" i="9"/>
  <c r="AG114" i="9" s="1"/>
  <c r="AF110" i="9"/>
  <c r="AF114" i="9" s="1"/>
  <c r="AD110" i="9"/>
  <c r="AD114" i="9" s="1"/>
  <c r="AC110" i="9"/>
  <c r="AC114" i="9" s="1"/>
  <c r="AB110" i="9"/>
  <c r="AB114" i="9" s="1"/>
  <c r="AA110" i="9"/>
  <c r="AA114" i="9" s="1"/>
  <c r="Z110" i="9"/>
  <c r="Z114" i="9" s="1"/>
  <c r="Y110" i="9"/>
  <c r="Y114" i="9" s="1"/>
  <c r="X110" i="9"/>
  <c r="X114" i="9" s="1"/>
  <c r="W110" i="9"/>
  <c r="W114" i="9" s="1"/>
  <c r="V110" i="9"/>
  <c r="V114" i="9" s="1"/>
  <c r="U110" i="9"/>
  <c r="U114" i="9" s="1"/>
  <c r="T110" i="9"/>
  <c r="T114" i="9" s="1"/>
  <c r="S110" i="9"/>
  <c r="S114" i="9" s="1"/>
  <c r="R110" i="9"/>
  <c r="R114" i="9" s="1"/>
  <c r="Q110" i="9"/>
  <c r="Q114" i="9" s="1"/>
  <c r="P110" i="9"/>
  <c r="P114" i="9" s="1"/>
  <c r="O110" i="9"/>
  <c r="O114" i="9" s="1"/>
  <c r="N110" i="9"/>
  <c r="N114" i="9" s="1"/>
  <c r="M110" i="9"/>
  <c r="M114" i="9" s="1"/>
  <c r="L110" i="9"/>
  <c r="L114" i="9" s="1"/>
  <c r="K110" i="9"/>
  <c r="K114" i="9" s="1"/>
  <c r="J110" i="9"/>
  <c r="J114" i="9" s="1"/>
  <c r="I110" i="9"/>
  <c r="I114" i="9" s="1"/>
  <c r="H110" i="9"/>
  <c r="H114" i="9" s="1"/>
  <c r="G110" i="9"/>
  <c r="G114" i="9" s="1"/>
  <c r="F110" i="9"/>
  <c r="F114" i="9" s="1"/>
  <c r="E110" i="9"/>
  <c r="E114" i="9" s="1"/>
  <c r="D110" i="9"/>
  <c r="D114" i="9" s="1"/>
  <c r="C110" i="9"/>
  <c r="B108" i="9"/>
  <c r="B104" i="9"/>
  <c r="BH103" i="9"/>
  <c r="BW101" i="9"/>
  <c r="BV101" i="9"/>
  <c r="BU101" i="9"/>
  <c r="BT101" i="9"/>
  <c r="BS101" i="9"/>
  <c r="BR101" i="9"/>
  <c r="BQ101" i="9"/>
  <c r="BP101" i="9"/>
  <c r="BO101" i="9"/>
  <c r="BN101" i="9"/>
  <c r="BM101" i="9"/>
  <c r="BL101" i="9"/>
  <c r="BK101" i="9"/>
  <c r="BJ101" i="9"/>
  <c r="BI101" i="9"/>
  <c r="BH101" i="9"/>
  <c r="BG101" i="9"/>
  <c r="BB101" i="9"/>
  <c r="BA101" i="9"/>
  <c r="AZ101" i="9"/>
  <c r="AX101" i="9"/>
  <c r="AW101" i="9"/>
  <c r="AT101" i="9"/>
  <c r="AR101" i="9"/>
  <c r="AQ101" i="9"/>
  <c r="AH101" i="9"/>
  <c r="AG101" i="9"/>
  <c r="AF101" i="9"/>
  <c r="AD101" i="9"/>
  <c r="AC101" i="9"/>
  <c r="AB101" i="9"/>
  <c r="AA101" i="9"/>
  <c r="Z101" i="9"/>
  <c r="Y101" i="9"/>
  <c r="X101" i="9"/>
  <c r="W101" i="9"/>
  <c r="V101" i="9"/>
  <c r="U101" i="9"/>
  <c r="T101" i="9"/>
  <c r="S101" i="9"/>
  <c r="R101" i="9"/>
  <c r="Q101" i="9"/>
  <c r="P101" i="9"/>
  <c r="O101" i="9"/>
  <c r="N101" i="9"/>
  <c r="M101" i="9"/>
  <c r="L101" i="9"/>
  <c r="K101" i="9"/>
  <c r="J101" i="9"/>
  <c r="I101" i="9"/>
  <c r="H101" i="9"/>
  <c r="G101" i="9"/>
  <c r="F101" i="9"/>
  <c r="E101" i="9"/>
  <c r="D101" i="9"/>
  <c r="C101" i="9"/>
  <c r="B99" i="9"/>
  <c r="BH98" i="9"/>
  <c r="BH99" i="9" s="1"/>
  <c r="BW96" i="9"/>
  <c r="BV96" i="9"/>
  <c r="BU96" i="9"/>
  <c r="BT96" i="9"/>
  <c r="BS96" i="9"/>
  <c r="BR96" i="9"/>
  <c r="BQ96" i="9"/>
  <c r="BP96" i="9"/>
  <c r="BO96" i="9"/>
  <c r="BN96" i="9"/>
  <c r="BM96" i="9"/>
  <c r="BL96" i="9"/>
  <c r="BK96" i="9"/>
  <c r="BJ96" i="9"/>
  <c r="BI96" i="9"/>
  <c r="BH96" i="9"/>
  <c r="BG96" i="9"/>
  <c r="BB96" i="9"/>
  <c r="BA96" i="9"/>
  <c r="AZ96" i="9"/>
  <c r="AX96" i="9"/>
  <c r="AW96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D96" i="9"/>
  <c r="AC96" i="9"/>
  <c r="AB96" i="9"/>
  <c r="AA96" i="9"/>
  <c r="Z96" i="9"/>
  <c r="Y96" i="9"/>
  <c r="X96" i="9"/>
  <c r="W96" i="9"/>
  <c r="V96" i="9"/>
  <c r="U96" i="9"/>
  <c r="T96" i="9"/>
  <c r="S96" i="9"/>
  <c r="R96" i="9"/>
  <c r="Q96" i="9"/>
  <c r="P96" i="9"/>
  <c r="O96" i="9"/>
  <c r="N96" i="9"/>
  <c r="M96" i="9"/>
  <c r="L96" i="9"/>
  <c r="K96" i="9"/>
  <c r="J96" i="9"/>
  <c r="I96" i="9"/>
  <c r="H96" i="9"/>
  <c r="G96" i="9"/>
  <c r="F96" i="9"/>
  <c r="E96" i="9"/>
  <c r="D96" i="9"/>
  <c r="C96" i="9"/>
  <c r="CA96" i="9" s="1"/>
  <c r="B95" i="9"/>
  <c r="BI94" i="9"/>
  <c r="BH94" i="9"/>
  <c r="BW93" i="9"/>
  <c r="BV93" i="9"/>
  <c r="BU93" i="9"/>
  <c r="BT93" i="9"/>
  <c r="BS93" i="9"/>
  <c r="BR93" i="9"/>
  <c r="BQ93" i="9"/>
  <c r="BP93" i="9"/>
  <c r="BO93" i="9"/>
  <c r="BN93" i="9"/>
  <c r="BM93" i="9"/>
  <c r="BL93" i="9"/>
  <c r="BK93" i="9"/>
  <c r="BJ93" i="9"/>
  <c r="BI93" i="9"/>
  <c r="BI95" i="9" s="1"/>
  <c r="BH93" i="9"/>
  <c r="BH95" i="9" s="1"/>
  <c r="BG93" i="9"/>
  <c r="BB93" i="9"/>
  <c r="BA93" i="9"/>
  <c r="AZ93" i="9"/>
  <c r="AX93" i="9"/>
  <c r="AW93" i="9"/>
  <c r="AT93" i="9"/>
  <c r="AR93" i="9"/>
  <c r="AQ93" i="9"/>
  <c r="AH93" i="9"/>
  <c r="AG93" i="9"/>
  <c r="AF93" i="9"/>
  <c r="AD93" i="9"/>
  <c r="AC93" i="9"/>
  <c r="AB93" i="9"/>
  <c r="AA93" i="9"/>
  <c r="Z93" i="9"/>
  <c r="Y93" i="9"/>
  <c r="X93" i="9"/>
  <c r="W93" i="9"/>
  <c r="V93" i="9"/>
  <c r="U93" i="9"/>
  <c r="T93" i="9"/>
  <c r="S93" i="9"/>
  <c r="R93" i="9"/>
  <c r="Q93" i="9"/>
  <c r="P93" i="9"/>
  <c r="O93" i="9"/>
  <c r="N93" i="9"/>
  <c r="M93" i="9"/>
  <c r="L93" i="9"/>
  <c r="K93" i="9"/>
  <c r="J93" i="9"/>
  <c r="I93" i="9"/>
  <c r="H93" i="9"/>
  <c r="G93" i="9"/>
  <c r="F93" i="9"/>
  <c r="E93" i="9"/>
  <c r="D93" i="9"/>
  <c r="C93" i="9"/>
  <c r="BZ91" i="9"/>
  <c r="BY91" i="9"/>
  <c r="BX91" i="9"/>
  <c r="BF91" i="9"/>
  <c r="BE91" i="9"/>
  <c r="BD91" i="9"/>
  <c r="BC91" i="9"/>
  <c r="AY91" i="9"/>
  <c r="AV91" i="9"/>
  <c r="AU91" i="9"/>
  <c r="AS91" i="9"/>
  <c r="AP91" i="9"/>
  <c r="AO91" i="9"/>
  <c r="AN91" i="9"/>
  <c r="AM91" i="9"/>
  <c r="AL91" i="9"/>
  <c r="AK91" i="9"/>
  <c r="AJ91" i="9"/>
  <c r="B91" i="9"/>
  <c r="BW90" i="9"/>
  <c r="BV90" i="9"/>
  <c r="BU90" i="9"/>
  <c r="BT90" i="9"/>
  <c r="BS90" i="9"/>
  <c r="BR90" i="9"/>
  <c r="BQ90" i="9"/>
  <c r="BP90" i="9"/>
  <c r="BO90" i="9"/>
  <c r="BN90" i="9"/>
  <c r="BM90" i="9"/>
  <c r="BL90" i="9"/>
  <c r="BK90" i="9"/>
  <c r="BJ90" i="9"/>
  <c r="BI90" i="9"/>
  <c r="BH90" i="9"/>
  <c r="BG90" i="9"/>
  <c r="BB90" i="9"/>
  <c r="BA90" i="9"/>
  <c r="AZ90" i="9"/>
  <c r="AX90" i="9"/>
  <c r="AW90" i="9"/>
  <c r="AT90" i="9"/>
  <c r="AR90" i="9"/>
  <c r="AQ90" i="9"/>
  <c r="AI90" i="9"/>
  <c r="AH90" i="9"/>
  <c r="AG90" i="9"/>
  <c r="AF90" i="9"/>
  <c r="AD90" i="9"/>
  <c r="AC90" i="9"/>
  <c r="AB90" i="9"/>
  <c r="AA90" i="9"/>
  <c r="Z90" i="9"/>
  <c r="Y90" i="9"/>
  <c r="X90" i="9"/>
  <c r="W90" i="9"/>
  <c r="V90" i="9"/>
  <c r="U90" i="9"/>
  <c r="T90" i="9"/>
  <c r="S90" i="9"/>
  <c r="R90" i="9"/>
  <c r="Q90" i="9"/>
  <c r="P90" i="9"/>
  <c r="O90" i="9"/>
  <c r="N90" i="9"/>
  <c r="M90" i="9"/>
  <c r="L90" i="9"/>
  <c r="K90" i="9"/>
  <c r="J90" i="9"/>
  <c r="I90" i="9"/>
  <c r="H90" i="9"/>
  <c r="G90" i="9"/>
  <c r="F90" i="9"/>
  <c r="E90" i="9"/>
  <c r="D90" i="9"/>
  <c r="C90" i="9"/>
  <c r="CA90" i="9" s="1"/>
  <c r="CC90" i="9" s="1"/>
  <c r="BW89" i="9"/>
  <c r="BW91" i="9" s="1"/>
  <c r="BV89" i="9"/>
  <c r="BV91" i="9" s="1"/>
  <c r="BU89" i="9"/>
  <c r="BU91" i="9" s="1"/>
  <c r="BT89" i="9"/>
  <c r="BT91" i="9" s="1"/>
  <c r="BS89" i="9"/>
  <c r="BS91" i="9" s="1"/>
  <c r="BR89" i="9"/>
  <c r="BR91" i="9" s="1"/>
  <c r="BQ89" i="9"/>
  <c r="BQ91" i="9" s="1"/>
  <c r="BP89" i="9"/>
  <c r="BP91" i="9" s="1"/>
  <c r="BO89" i="9"/>
  <c r="BO91" i="9" s="1"/>
  <c r="BN89" i="9"/>
  <c r="BN91" i="9" s="1"/>
  <c r="BM89" i="9"/>
  <c r="BM91" i="9" s="1"/>
  <c r="BL89" i="9"/>
  <c r="BL91" i="9" s="1"/>
  <c r="BK89" i="9"/>
  <c r="BK91" i="9" s="1"/>
  <c r="BJ89" i="9"/>
  <c r="BJ91" i="9" s="1"/>
  <c r="BI89" i="9"/>
  <c r="BI91" i="9" s="1"/>
  <c r="BH89" i="9"/>
  <c r="BH91" i="9" s="1"/>
  <c r="BG89" i="9"/>
  <c r="BG91" i="9" s="1"/>
  <c r="BB89" i="9"/>
  <c r="BB91" i="9" s="1"/>
  <c r="BA89" i="9"/>
  <c r="BA91" i="9" s="1"/>
  <c r="AZ89" i="9"/>
  <c r="AZ91" i="9" s="1"/>
  <c r="AX89" i="9"/>
  <c r="AX91" i="9" s="1"/>
  <c r="AW89" i="9"/>
  <c r="AW91" i="9" s="1"/>
  <c r="AT89" i="9"/>
  <c r="AT91" i="9" s="1"/>
  <c r="AR89" i="9"/>
  <c r="AR91" i="9" s="1"/>
  <c r="AQ89" i="9"/>
  <c r="AQ91" i="9" s="1"/>
  <c r="AI89" i="9"/>
  <c r="AI91" i="9" s="1"/>
  <c r="AH89" i="9"/>
  <c r="AH91" i="9" s="1"/>
  <c r="AG89" i="9"/>
  <c r="AG91" i="9" s="1"/>
  <c r="AF89" i="9"/>
  <c r="AF91" i="9" s="1"/>
  <c r="AD89" i="9"/>
  <c r="AD91" i="9" s="1"/>
  <c r="AC89" i="9"/>
  <c r="AC91" i="9" s="1"/>
  <c r="AB89" i="9"/>
  <c r="AB91" i="9" s="1"/>
  <c r="AA89" i="9"/>
  <c r="AA91" i="9" s="1"/>
  <c r="Z89" i="9"/>
  <c r="Z91" i="9" s="1"/>
  <c r="Y89" i="9"/>
  <c r="Y91" i="9" s="1"/>
  <c r="X89" i="9"/>
  <c r="X91" i="9" s="1"/>
  <c r="W89" i="9"/>
  <c r="W91" i="9" s="1"/>
  <c r="V89" i="9"/>
  <c r="V91" i="9" s="1"/>
  <c r="U89" i="9"/>
  <c r="U91" i="9" s="1"/>
  <c r="T89" i="9"/>
  <c r="T91" i="9" s="1"/>
  <c r="S89" i="9"/>
  <c r="S91" i="9" s="1"/>
  <c r="R89" i="9"/>
  <c r="R91" i="9" s="1"/>
  <c r="Q89" i="9"/>
  <c r="Q91" i="9" s="1"/>
  <c r="P89" i="9"/>
  <c r="P91" i="9" s="1"/>
  <c r="O89" i="9"/>
  <c r="O91" i="9" s="1"/>
  <c r="N89" i="9"/>
  <c r="N91" i="9" s="1"/>
  <c r="M89" i="9"/>
  <c r="M91" i="9" s="1"/>
  <c r="L89" i="9"/>
  <c r="L91" i="9" s="1"/>
  <c r="K89" i="9"/>
  <c r="K91" i="9" s="1"/>
  <c r="J89" i="9"/>
  <c r="J91" i="9" s="1"/>
  <c r="I89" i="9"/>
  <c r="I91" i="9" s="1"/>
  <c r="H89" i="9"/>
  <c r="H91" i="9" s="1"/>
  <c r="G89" i="9"/>
  <c r="G91" i="9" s="1"/>
  <c r="F89" i="9"/>
  <c r="F91" i="9" s="1"/>
  <c r="E89" i="9"/>
  <c r="E91" i="9" s="1"/>
  <c r="D89" i="9"/>
  <c r="D91" i="9" s="1"/>
  <c r="C89" i="9"/>
  <c r="BG87" i="9"/>
  <c r="BZ86" i="9"/>
  <c r="BY86" i="9"/>
  <c r="BX86" i="9"/>
  <c r="BF86" i="9"/>
  <c r="BE86" i="9"/>
  <c r="BD86" i="9"/>
  <c r="BC86" i="9"/>
  <c r="AY86" i="9"/>
  <c r="AV86" i="9"/>
  <c r="AU86" i="9"/>
  <c r="AS86" i="9"/>
  <c r="AP86" i="9"/>
  <c r="AO86" i="9"/>
  <c r="AN86" i="9"/>
  <c r="AM86" i="9"/>
  <c r="AL86" i="9"/>
  <c r="AK86" i="9"/>
  <c r="AJ86" i="9"/>
  <c r="B86" i="9"/>
  <c r="BW85" i="9"/>
  <c r="BV85" i="9"/>
  <c r="BU85" i="9"/>
  <c r="BT85" i="9"/>
  <c r="BS85" i="9"/>
  <c r="BR85" i="9"/>
  <c r="BQ85" i="9"/>
  <c r="BP85" i="9"/>
  <c r="BO85" i="9"/>
  <c r="BN85" i="9"/>
  <c r="BM85" i="9"/>
  <c r="BL85" i="9"/>
  <c r="BK85" i="9"/>
  <c r="BJ85" i="9"/>
  <c r="BI85" i="9"/>
  <c r="BH85" i="9"/>
  <c r="BG85" i="9"/>
  <c r="BB85" i="9"/>
  <c r="BA85" i="9"/>
  <c r="AZ85" i="9"/>
  <c r="AX85" i="9"/>
  <c r="AW85" i="9"/>
  <c r="AT85" i="9"/>
  <c r="AR85" i="9"/>
  <c r="AQ85" i="9"/>
  <c r="AI85" i="9"/>
  <c r="AH85" i="9"/>
  <c r="AG85" i="9"/>
  <c r="AF85" i="9"/>
  <c r="AD85" i="9"/>
  <c r="AC85" i="9"/>
  <c r="AB85" i="9"/>
  <c r="AA85" i="9"/>
  <c r="Z85" i="9"/>
  <c r="Y85" i="9"/>
  <c r="X85" i="9"/>
  <c r="W85" i="9"/>
  <c r="V85" i="9"/>
  <c r="U85" i="9"/>
  <c r="T85" i="9"/>
  <c r="S85" i="9"/>
  <c r="R85" i="9"/>
  <c r="Q85" i="9"/>
  <c r="P85" i="9"/>
  <c r="O85" i="9"/>
  <c r="N85" i="9"/>
  <c r="M85" i="9"/>
  <c r="L85" i="9"/>
  <c r="K85" i="9"/>
  <c r="J85" i="9"/>
  <c r="I85" i="9"/>
  <c r="H85" i="9"/>
  <c r="G85" i="9"/>
  <c r="F85" i="9"/>
  <c r="E85" i="9"/>
  <c r="D85" i="9"/>
  <c r="BW84" i="9"/>
  <c r="BW86" i="9" s="1"/>
  <c r="BV84" i="9"/>
  <c r="BV86" i="9" s="1"/>
  <c r="BU84" i="9"/>
  <c r="BU86" i="9" s="1"/>
  <c r="BT84" i="9"/>
  <c r="BT86" i="9" s="1"/>
  <c r="BS84" i="9"/>
  <c r="BS86" i="9" s="1"/>
  <c r="BR84" i="9"/>
  <c r="BR86" i="9" s="1"/>
  <c r="BQ84" i="9"/>
  <c r="BQ86" i="9" s="1"/>
  <c r="BP84" i="9"/>
  <c r="BP86" i="9" s="1"/>
  <c r="BO84" i="9"/>
  <c r="BO86" i="9" s="1"/>
  <c r="BN84" i="9"/>
  <c r="BN86" i="9" s="1"/>
  <c r="BM84" i="9"/>
  <c r="BM86" i="9" s="1"/>
  <c r="BL84" i="9"/>
  <c r="BL86" i="9" s="1"/>
  <c r="BK84" i="9"/>
  <c r="BK86" i="9" s="1"/>
  <c r="BJ84" i="9"/>
  <c r="BJ86" i="9" s="1"/>
  <c r="BI84" i="9"/>
  <c r="BI86" i="9" s="1"/>
  <c r="BH84" i="9"/>
  <c r="BH86" i="9" s="1"/>
  <c r="BG84" i="9"/>
  <c r="BG86" i="9" s="1"/>
  <c r="BB84" i="9"/>
  <c r="BB86" i="9" s="1"/>
  <c r="BA84" i="9"/>
  <c r="BA86" i="9" s="1"/>
  <c r="AZ84" i="9"/>
  <c r="AZ86" i="9" s="1"/>
  <c r="AX84" i="9"/>
  <c r="AX86" i="9" s="1"/>
  <c r="AW84" i="9"/>
  <c r="AW86" i="9" s="1"/>
  <c r="AT84" i="9"/>
  <c r="AT86" i="9" s="1"/>
  <c r="AR84" i="9"/>
  <c r="AR86" i="9" s="1"/>
  <c r="AQ84" i="9"/>
  <c r="AQ86" i="9" s="1"/>
  <c r="AI84" i="9"/>
  <c r="AI86" i="9" s="1"/>
  <c r="AH84" i="9"/>
  <c r="AH86" i="9" s="1"/>
  <c r="AG84" i="9"/>
  <c r="AG86" i="9" s="1"/>
  <c r="AF84" i="9"/>
  <c r="AF86" i="9" s="1"/>
  <c r="AD84" i="9"/>
  <c r="AD86" i="9" s="1"/>
  <c r="AC84" i="9"/>
  <c r="AC86" i="9" s="1"/>
  <c r="AB84" i="9"/>
  <c r="AB86" i="9" s="1"/>
  <c r="AA84" i="9"/>
  <c r="AA86" i="9" s="1"/>
  <c r="Z84" i="9"/>
  <c r="Z86" i="9" s="1"/>
  <c r="Y84" i="9"/>
  <c r="Y86" i="9" s="1"/>
  <c r="X84" i="9"/>
  <c r="X86" i="9" s="1"/>
  <c r="W84" i="9"/>
  <c r="W86" i="9" s="1"/>
  <c r="V84" i="9"/>
  <c r="V86" i="9" s="1"/>
  <c r="U84" i="9"/>
  <c r="U86" i="9" s="1"/>
  <c r="T84" i="9"/>
  <c r="T86" i="9" s="1"/>
  <c r="S84" i="9"/>
  <c r="S86" i="9" s="1"/>
  <c r="R84" i="9"/>
  <c r="R86" i="9" s="1"/>
  <c r="Q84" i="9"/>
  <c r="Q86" i="9" s="1"/>
  <c r="P84" i="9"/>
  <c r="P86" i="9" s="1"/>
  <c r="O84" i="9"/>
  <c r="O86" i="9" s="1"/>
  <c r="N84" i="9"/>
  <c r="N86" i="9" s="1"/>
  <c r="M84" i="9"/>
  <c r="M86" i="9" s="1"/>
  <c r="L84" i="9"/>
  <c r="L86" i="9" s="1"/>
  <c r="K84" i="9"/>
  <c r="K86" i="9" s="1"/>
  <c r="J84" i="9"/>
  <c r="J86" i="9" s="1"/>
  <c r="I84" i="9"/>
  <c r="I86" i="9" s="1"/>
  <c r="H84" i="9"/>
  <c r="H86" i="9" s="1"/>
  <c r="G84" i="9"/>
  <c r="G86" i="9" s="1"/>
  <c r="F84" i="9"/>
  <c r="F86" i="9" s="1"/>
  <c r="E84" i="9"/>
  <c r="E86" i="9" s="1"/>
  <c r="D84" i="9"/>
  <c r="D86" i="9" s="1"/>
  <c r="B82" i="9"/>
  <c r="BZ81" i="9"/>
  <c r="BY81" i="9"/>
  <c r="BX81" i="9"/>
  <c r="BW81" i="9"/>
  <c r="BV81" i="9"/>
  <c r="BU81" i="9"/>
  <c r="BT81" i="9"/>
  <c r="BS81" i="9"/>
  <c r="BR81" i="9"/>
  <c r="BQ81" i="9"/>
  <c r="BP81" i="9"/>
  <c r="BO81" i="9"/>
  <c r="BN81" i="9"/>
  <c r="BM81" i="9"/>
  <c r="BL81" i="9"/>
  <c r="BK81" i="9"/>
  <c r="BJ81" i="9"/>
  <c r="BI81" i="9"/>
  <c r="BH81" i="9"/>
  <c r="BG81" i="9"/>
  <c r="BF81" i="9"/>
  <c r="BE81" i="9"/>
  <c r="BD81" i="9"/>
  <c r="BC81" i="9"/>
  <c r="BB81" i="9"/>
  <c r="BA81" i="9"/>
  <c r="AZ81" i="9"/>
  <c r="AY81" i="9"/>
  <c r="AX81" i="9"/>
  <c r="AW81" i="9"/>
  <c r="AV81" i="9"/>
  <c r="AU81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D81" i="9"/>
  <c r="AC81" i="9"/>
  <c r="AB81" i="9"/>
  <c r="AA81" i="9"/>
  <c r="Z81" i="9"/>
  <c r="Y81" i="9"/>
  <c r="X81" i="9"/>
  <c r="W81" i="9"/>
  <c r="V81" i="9"/>
  <c r="U81" i="9"/>
  <c r="T81" i="9"/>
  <c r="S81" i="9"/>
  <c r="R81" i="9"/>
  <c r="Q81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BZ80" i="9"/>
  <c r="BY80" i="9"/>
  <c r="BX80" i="9"/>
  <c r="BW80" i="9"/>
  <c r="BV80" i="9"/>
  <c r="BU80" i="9"/>
  <c r="BT80" i="9"/>
  <c r="BS80" i="9"/>
  <c r="BR80" i="9"/>
  <c r="BQ80" i="9"/>
  <c r="BP80" i="9"/>
  <c r="BO80" i="9"/>
  <c r="BN80" i="9"/>
  <c r="BM80" i="9"/>
  <c r="BL80" i="9"/>
  <c r="BK80" i="9"/>
  <c r="BJ80" i="9"/>
  <c r="BI80" i="9"/>
  <c r="BH80" i="9"/>
  <c r="BG80" i="9"/>
  <c r="BF80" i="9"/>
  <c r="BE80" i="9"/>
  <c r="BD80" i="9"/>
  <c r="BC80" i="9"/>
  <c r="BB80" i="9"/>
  <c r="BA80" i="9"/>
  <c r="AZ80" i="9"/>
  <c r="AY80" i="9"/>
  <c r="AX80" i="9"/>
  <c r="AW80" i="9"/>
  <c r="AV80" i="9"/>
  <c r="AU80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D80" i="9"/>
  <c r="AC80" i="9"/>
  <c r="AB80" i="9"/>
  <c r="AA80" i="9"/>
  <c r="Z80" i="9"/>
  <c r="Y80" i="9"/>
  <c r="X80" i="9"/>
  <c r="W80" i="9"/>
  <c r="V80" i="9"/>
  <c r="U80" i="9"/>
  <c r="T80" i="9"/>
  <c r="S80" i="9"/>
  <c r="R80" i="9"/>
  <c r="Q80" i="9"/>
  <c r="P80" i="9"/>
  <c r="O80" i="9"/>
  <c r="N80" i="9"/>
  <c r="M80" i="9"/>
  <c r="L80" i="9"/>
  <c r="K80" i="9"/>
  <c r="J80" i="9"/>
  <c r="I80" i="9"/>
  <c r="H80" i="9"/>
  <c r="G80" i="9"/>
  <c r="F80" i="9"/>
  <c r="E80" i="9"/>
  <c r="D80" i="9"/>
  <c r="BZ79" i="9"/>
  <c r="BZ82" i="9" s="1"/>
  <c r="BY79" i="9"/>
  <c r="BY82" i="9" s="1"/>
  <c r="BX79" i="9"/>
  <c r="BX82" i="9" s="1"/>
  <c r="BW79" i="9"/>
  <c r="BW82" i="9" s="1"/>
  <c r="BV79" i="9"/>
  <c r="BV82" i="9" s="1"/>
  <c r="BU79" i="9"/>
  <c r="BU82" i="9" s="1"/>
  <c r="BT79" i="9"/>
  <c r="BT82" i="9" s="1"/>
  <c r="BS79" i="9"/>
  <c r="BS82" i="9" s="1"/>
  <c r="BR79" i="9"/>
  <c r="BR82" i="9" s="1"/>
  <c r="BQ79" i="9"/>
  <c r="BQ82" i="9" s="1"/>
  <c r="BP79" i="9"/>
  <c r="BP82" i="9" s="1"/>
  <c r="BO79" i="9"/>
  <c r="BO82" i="9" s="1"/>
  <c r="BN79" i="9"/>
  <c r="BN82" i="9" s="1"/>
  <c r="BM79" i="9"/>
  <c r="BM82" i="9" s="1"/>
  <c r="BL79" i="9"/>
  <c r="BL82" i="9" s="1"/>
  <c r="BK79" i="9"/>
  <c r="BK82" i="9" s="1"/>
  <c r="BJ79" i="9"/>
  <c r="BJ82" i="9" s="1"/>
  <c r="BI79" i="9"/>
  <c r="BI82" i="9" s="1"/>
  <c r="BH79" i="9"/>
  <c r="BH82" i="9" s="1"/>
  <c r="BG79" i="9"/>
  <c r="BG82" i="9" s="1"/>
  <c r="BF79" i="9"/>
  <c r="BF82" i="9" s="1"/>
  <c r="BE79" i="9"/>
  <c r="BE82" i="9" s="1"/>
  <c r="BD79" i="9"/>
  <c r="BD82" i="9" s="1"/>
  <c r="BC79" i="9"/>
  <c r="BC82" i="9" s="1"/>
  <c r="BB79" i="9"/>
  <c r="BB82" i="9" s="1"/>
  <c r="BA79" i="9"/>
  <c r="BA82" i="9" s="1"/>
  <c r="AZ79" i="9"/>
  <c r="AZ82" i="9" s="1"/>
  <c r="AY79" i="9"/>
  <c r="AY82" i="9" s="1"/>
  <c r="AX79" i="9"/>
  <c r="AX82" i="9" s="1"/>
  <c r="AW79" i="9"/>
  <c r="AW82" i="9" s="1"/>
  <c r="AV79" i="9"/>
  <c r="AV82" i="9" s="1"/>
  <c r="AU79" i="9"/>
  <c r="AU82" i="9" s="1"/>
  <c r="AT79" i="9"/>
  <c r="AT82" i="9" s="1"/>
  <c r="AS79" i="9"/>
  <c r="AS82" i="9" s="1"/>
  <c r="AR79" i="9"/>
  <c r="AR82" i="9" s="1"/>
  <c r="AQ79" i="9"/>
  <c r="AQ82" i="9" s="1"/>
  <c r="AP79" i="9"/>
  <c r="AP82" i="9" s="1"/>
  <c r="AO79" i="9"/>
  <c r="AO82" i="9" s="1"/>
  <c r="AN79" i="9"/>
  <c r="AN82" i="9" s="1"/>
  <c r="AM79" i="9"/>
  <c r="AM82" i="9" s="1"/>
  <c r="AL79" i="9"/>
  <c r="AL82" i="9" s="1"/>
  <c r="AK79" i="9"/>
  <c r="AK82" i="9" s="1"/>
  <c r="AJ79" i="9"/>
  <c r="AJ82" i="9" s="1"/>
  <c r="AI79" i="9"/>
  <c r="AI82" i="9" s="1"/>
  <c r="AH79" i="9"/>
  <c r="AH82" i="9" s="1"/>
  <c r="AG79" i="9"/>
  <c r="AG82" i="9" s="1"/>
  <c r="AF79" i="9"/>
  <c r="AF82" i="9" s="1"/>
  <c r="AD79" i="9"/>
  <c r="AD82" i="9" s="1"/>
  <c r="AC79" i="9"/>
  <c r="AC82" i="9" s="1"/>
  <c r="AB79" i="9"/>
  <c r="AB82" i="9" s="1"/>
  <c r="AA79" i="9"/>
  <c r="AA82" i="9" s="1"/>
  <c r="Z79" i="9"/>
  <c r="Z82" i="9" s="1"/>
  <c r="Y79" i="9"/>
  <c r="Y82" i="9" s="1"/>
  <c r="X79" i="9"/>
  <c r="X82" i="9" s="1"/>
  <c r="W79" i="9"/>
  <c r="W82" i="9" s="1"/>
  <c r="V79" i="9"/>
  <c r="V82" i="9" s="1"/>
  <c r="U79" i="9"/>
  <c r="U82" i="9" s="1"/>
  <c r="T79" i="9"/>
  <c r="T82" i="9" s="1"/>
  <c r="S79" i="9"/>
  <c r="S82" i="9" s="1"/>
  <c r="R79" i="9"/>
  <c r="R82" i="9" s="1"/>
  <c r="Q79" i="9"/>
  <c r="Q82" i="9" s="1"/>
  <c r="P79" i="9"/>
  <c r="P82" i="9" s="1"/>
  <c r="O79" i="9"/>
  <c r="O82" i="9" s="1"/>
  <c r="N79" i="9"/>
  <c r="N82" i="9" s="1"/>
  <c r="M79" i="9"/>
  <c r="M82" i="9" s="1"/>
  <c r="L79" i="9"/>
  <c r="L82" i="9" s="1"/>
  <c r="K79" i="9"/>
  <c r="K82" i="9" s="1"/>
  <c r="J79" i="9"/>
  <c r="J82" i="9" s="1"/>
  <c r="I79" i="9"/>
  <c r="I82" i="9" s="1"/>
  <c r="H79" i="9"/>
  <c r="H82" i="9" s="1"/>
  <c r="G79" i="9"/>
  <c r="G82" i="9" s="1"/>
  <c r="F79" i="9"/>
  <c r="F82" i="9" s="1"/>
  <c r="E79" i="9"/>
  <c r="E82" i="9" s="1"/>
  <c r="D79" i="9"/>
  <c r="D82" i="9" s="1"/>
  <c r="BZ77" i="9"/>
  <c r="BY77" i="9"/>
  <c r="BX77" i="9"/>
  <c r="BG77" i="9"/>
  <c r="BF77" i="9"/>
  <c r="BE77" i="9"/>
  <c r="BD77" i="9"/>
  <c r="BC77" i="9"/>
  <c r="AY77" i="9"/>
  <c r="AV77" i="9"/>
  <c r="AU77" i="9"/>
  <c r="AS77" i="9"/>
  <c r="AP77" i="9"/>
  <c r="AO77" i="9"/>
  <c r="AN77" i="9"/>
  <c r="AM77" i="9"/>
  <c r="AL77" i="9"/>
  <c r="AK77" i="9"/>
  <c r="AJ77" i="9"/>
  <c r="B77" i="9"/>
  <c r="BW76" i="9"/>
  <c r="BV76" i="9"/>
  <c r="BU76" i="9"/>
  <c r="BT76" i="9"/>
  <c r="BS76" i="9"/>
  <c r="BR76" i="9"/>
  <c r="BQ76" i="9"/>
  <c r="BP76" i="9"/>
  <c r="BO76" i="9"/>
  <c r="BN76" i="9"/>
  <c r="BM76" i="9"/>
  <c r="BL76" i="9"/>
  <c r="BK76" i="9"/>
  <c r="BJ76" i="9"/>
  <c r="BI76" i="9"/>
  <c r="BH76" i="9"/>
  <c r="BB76" i="9"/>
  <c r="BA76" i="9"/>
  <c r="AZ76" i="9"/>
  <c r="AX76" i="9"/>
  <c r="AW76" i="9"/>
  <c r="AT76" i="9"/>
  <c r="AR76" i="9"/>
  <c r="AQ76" i="9"/>
  <c r="AI76" i="9"/>
  <c r="AH76" i="9"/>
  <c r="AG76" i="9"/>
  <c r="AF76" i="9"/>
  <c r="AD76" i="9"/>
  <c r="AC76" i="9"/>
  <c r="AB76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CA76" i="9" s="1"/>
  <c r="BW75" i="9"/>
  <c r="BV75" i="9"/>
  <c r="BU75" i="9"/>
  <c r="BT75" i="9"/>
  <c r="BS75" i="9"/>
  <c r="BR75" i="9"/>
  <c r="BQ75" i="9"/>
  <c r="BP75" i="9"/>
  <c r="BO75" i="9"/>
  <c r="BN75" i="9"/>
  <c r="BM75" i="9"/>
  <c r="BL75" i="9"/>
  <c r="BK75" i="9"/>
  <c r="BJ75" i="9"/>
  <c r="BI75" i="9"/>
  <c r="BH75" i="9"/>
  <c r="BB75" i="9"/>
  <c r="BA75" i="9"/>
  <c r="AZ75" i="9"/>
  <c r="AX75" i="9"/>
  <c r="AW75" i="9"/>
  <c r="AT75" i="9"/>
  <c r="AR75" i="9"/>
  <c r="AQ75" i="9"/>
  <c r="AI75" i="9"/>
  <c r="AH75" i="9"/>
  <c r="AG75" i="9"/>
  <c r="AF75" i="9"/>
  <c r="AD75" i="9"/>
  <c r="AC75" i="9"/>
  <c r="AB75" i="9"/>
  <c r="AA75" i="9"/>
  <c r="Z75" i="9"/>
  <c r="Y75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CA75" i="9" s="1"/>
  <c r="BW74" i="9"/>
  <c r="BV74" i="9"/>
  <c r="BU74" i="9"/>
  <c r="BT74" i="9"/>
  <c r="BS74" i="9"/>
  <c r="BR74" i="9"/>
  <c r="BQ74" i="9"/>
  <c r="BP74" i="9"/>
  <c r="BO74" i="9"/>
  <c r="BN74" i="9"/>
  <c r="BM74" i="9"/>
  <c r="BL74" i="9"/>
  <c r="BK74" i="9"/>
  <c r="BJ74" i="9"/>
  <c r="BI74" i="9"/>
  <c r="BH74" i="9"/>
  <c r="BB74" i="9"/>
  <c r="BA74" i="9"/>
  <c r="AZ74" i="9"/>
  <c r="AX74" i="9"/>
  <c r="AW74" i="9"/>
  <c r="AT74" i="9"/>
  <c r="AR74" i="9"/>
  <c r="AQ74" i="9"/>
  <c r="AI74" i="9"/>
  <c r="AH74" i="9"/>
  <c r="AG74" i="9"/>
  <c r="AF74" i="9"/>
  <c r="AD74" i="9"/>
  <c r="AC74" i="9"/>
  <c r="AB74" i="9"/>
  <c r="AA74" i="9"/>
  <c r="Z74" i="9"/>
  <c r="Y74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CA74" i="9" s="1"/>
  <c r="BW73" i="9"/>
  <c r="BV73" i="9"/>
  <c r="BU73" i="9"/>
  <c r="BT73" i="9"/>
  <c r="BS73" i="9"/>
  <c r="BR73" i="9"/>
  <c r="BQ73" i="9"/>
  <c r="BP73" i="9"/>
  <c r="BO73" i="9"/>
  <c r="BN73" i="9"/>
  <c r="BM73" i="9"/>
  <c r="BL73" i="9"/>
  <c r="BK73" i="9"/>
  <c r="BJ73" i="9"/>
  <c r="BI73" i="9"/>
  <c r="BH73" i="9"/>
  <c r="BB73" i="9"/>
  <c r="BA73" i="9"/>
  <c r="AZ73" i="9"/>
  <c r="AX73" i="9"/>
  <c r="AW73" i="9"/>
  <c r="AT73" i="9"/>
  <c r="AR73" i="9"/>
  <c r="AQ73" i="9"/>
  <c r="AI73" i="9"/>
  <c r="AH73" i="9"/>
  <c r="AG73" i="9"/>
  <c r="AF73" i="9"/>
  <c r="AD73" i="9"/>
  <c r="AC73" i="9"/>
  <c r="AB73" i="9"/>
  <c r="AA73" i="9"/>
  <c r="Z73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CA73" i="9" s="1"/>
  <c r="BW72" i="9"/>
  <c r="BW77" i="9" s="1"/>
  <c r="BV72" i="9"/>
  <c r="BV77" i="9" s="1"/>
  <c r="BU72" i="9"/>
  <c r="BU77" i="9" s="1"/>
  <c r="BT72" i="9"/>
  <c r="BT77" i="9" s="1"/>
  <c r="BS72" i="9"/>
  <c r="BS77" i="9" s="1"/>
  <c r="BR72" i="9"/>
  <c r="BR77" i="9" s="1"/>
  <c r="BQ72" i="9"/>
  <c r="BQ77" i="9" s="1"/>
  <c r="BP72" i="9"/>
  <c r="BP77" i="9" s="1"/>
  <c r="BO72" i="9"/>
  <c r="BO77" i="9" s="1"/>
  <c r="BN72" i="9"/>
  <c r="BN77" i="9" s="1"/>
  <c r="BM72" i="9"/>
  <c r="BM77" i="9" s="1"/>
  <c r="BL72" i="9"/>
  <c r="BL77" i="9" s="1"/>
  <c r="BK72" i="9"/>
  <c r="BK77" i="9" s="1"/>
  <c r="BJ72" i="9"/>
  <c r="BJ77" i="9" s="1"/>
  <c r="BI72" i="9"/>
  <c r="BI77" i="9" s="1"/>
  <c r="BH72" i="9"/>
  <c r="BH77" i="9" s="1"/>
  <c r="BB72" i="9"/>
  <c r="BB77" i="9" s="1"/>
  <c r="BA72" i="9"/>
  <c r="BA77" i="9" s="1"/>
  <c r="AZ72" i="9"/>
  <c r="AZ77" i="9" s="1"/>
  <c r="AX72" i="9"/>
  <c r="AX77" i="9" s="1"/>
  <c r="AW72" i="9"/>
  <c r="AW77" i="9" s="1"/>
  <c r="AT72" i="9"/>
  <c r="AT77" i="9" s="1"/>
  <c r="AR72" i="9"/>
  <c r="AR77" i="9" s="1"/>
  <c r="AQ72" i="9"/>
  <c r="AQ77" i="9" s="1"/>
  <c r="AI72" i="9"/>
  <c r="AI77" i="9" s="1"/>
  <c r="AH72" i="9"/>
  <c r="AH77" i="9" s="1"/>
  <c r="AG72" i="9"/>
  <c r="AG77" i="9" s="1"/>
  <c r="AF72" i="9"/>
  <c r="AF77" i="9" s="1"/>
  <c r="AD72" i="9"/>
  <c r="AD77" i="9" s="1"/>
  <c r="AC72" i="9"/>
  <c r="AC77" i="9" s="1"/>
  <c r="AB72" i="9"/>
  <c r="AB77" i="9" s="1"/>
  <c r="AA72" i="9"/>
  <c r="AA77" i="9" s="1"/>
  <c r="Z72" i="9"/>
  <c r="Z77" i="9" s="1"/>
  <c r="Y72" i="9"/>
  <c r="Y77" i="9" s="1"/>
  <c r="X72" i="9"/>
  <c r="X77" i="9" s="1"/>
  <c r="W72" i="9"/>
  <c r="W77" i="9" s="1"/>
  <c r="V72" i="9"/>
  <c r="V77" i="9" s="1"/>
  <c r="U72" i="9"/>
  <c r="U77" i="9" s="1"/>
  <c r="T72" i="9"/>
  <c r="T77" i="9" s="1"/>
  <c r="S72" i="9"/>
  <c r="S77" i="9" s="1"/>
  <c r="R72" i="9"/>
  <c r="R77" i="9" s="1"/>
  <c r="Q72" i="9"/>
  <c r="Q77" i="9" s="1"/>
  <c r="P72" i="9"/>
  <c r="P77" i="9" s="1"/>
  <c r="O72" i="9"/>
  <c r="O77" i="9" s="1"/>
  <c r="N72" i="9"/>
  <c r="N77" i="9" s="1"/>
  <c r="M72" i="9"/>
  <c r="M77" i="9" s="1"/>
  <c r="L72" i="9"/>
  <c r="L77" i="9" s="1"/>
  <c r="K72" i="9"/>
  <c r="K77" i="9" s="1"/>
  <c r="J72" i="9"/>
  <c r="J77" i="9" s="1"/>
  <c r="I72" i="9"/>
  <c r="I77" i="9" s="1"/>
  <c r="H72" i="9"/>
  <c r="H77" i="9" s="1"/>
  <c r="G72" i="9"/>
  <c r="G77" i="9" s="1"/>
  <c r="F72" i="9"/>
  <c r="F77" i="9" s="1"/>
  <c r="E72" i="9"/>
  <c r="E77" i="9" s="1"/>
  <c r="D72" i="9"/>
  <c r="D77" i="9" s="1"/>
  <c r="C72" i="9"/>
  <c r="BZ70" i="9"/>
  <c r="BY70" i="9"/>
  <c r="BX70" i="9"/>
  <c r="BF70" i="9"/>
  <c r="BE70" i="9"/>
  <c r="BD70" i="9"/>
  <c r="BC70" i="9"/>
  <c r="AY70" i="9"/>
  <c r="AV70" i="9"/>
  <c r="AU70" i="9"/>
  <c r="AS70" i="9"/>
  <c r="AP70" i="9"/>
  <c r="AO70" i="9"/>
  <c r="AN70" i="9"/>
  <c r="AM70" i="9"/>
  <c r="AL70" i="9"/>
  <c r="AK70" i="9"/>
  <c r="AJ70" i="9"/>
  <c r="B70" i="9"/>
  <c r="BW69" i="9"/>
  <c r="BV69" i="9"/>
  <c r="BU69" i="9"/>
  <c r="BT69" i="9"/>
  <c r="BS69" i="9"/>
  <c r="BR69" i="9"/>
  <c r="BQ69" i="9"/>
  <c r="BP69" i="9"/>
  <c r="BO69" i="9"/>
  <c r="BN69" i="9"/>
  <c r="BM69" i="9"/>
  <c r="BL69" i="9"/>
  <c r="BK69" i="9"/>
  <c r="BJ69" i="9"/>
  <c r="BI69" i="9"/>
  <c r="BH69" i="9"/>
  <c r="BG69" i="9"/>
  <c r="BB69" i="9"/>
  <c r="BA69" i="9"/>
  <c r="AZ69" i="9"/>
  <c r="AX69" i="9"/>
  <c r="AW69" i="9"/>
  <c r="AT69" i="9"/>
  <c r="AR69" i="9"/>
  <c r="AQ69" i="9"/>
  <c r="AI69" i="9"/>
  <c r="AH69" i="9"/>
  <c r="AG69" i="9"/>
  <c r="AF69" i="9"/>
  <c r="AD69" i="9"/>
  <c r="AC69" i="9"/>
  <c r="AB69" i="9"/>
  <c r="AA69" i="9"/>
  <c r="Z69" i="9"/>
  <c r="Y69" i="9"/>
  <c r="X69" i="9"/>
  <c r="W69" i="9"/>
  <c r="V69" i="9"/>
  <c r="U69" i="9"/>
  <c r="T69" i="9"/>
  <c r="S69" i="9"/>
  <c r="R69" i="9"/>
  <c r="Q69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CA69" i="9" s="1"/>
  <c r="BW68" i="9"/>
  <c r="BW70" i="9" s="1"/>
  <c r="BV68" i="9"/>
  <c r="BV70" i="9" s="1"/>
  <c r="BU68" i="9"/>
  <c r="BU70" i="9" s="1"/>
  <c r="BT68" i="9"/>
  <c r="BT70" i="9" s="1"/>
  <c r="BS68" i="9"/>
  <c r="BS70" i="9" s="1"/>
  <c r="BR68" i="9"/>
  <c r="BR70" i="9" s="1"/>
  <c r="BQ68" i="9"/>
  <c r="BQ70" i="9" s="1"/>
  <c r="BP68" i="9"/>
  <c r="BP70" i="9" s="1"/>
  <c r="BO68" i="9"/>
  <c r="BO70" i="9" s="1"/>
  <c r="BN68" i="9"/>
  <c r="BN70" i="9" s="1"/>
  <c r="BM68" i="9"/>
  <c r="BM70" i="9" s="1"/>
  <c r="BL68" i="9"/>
  <c r="BL70" i="9" s="1"/>
  <c r="BK68" i="9"/>
  <c r="BK70" i="9" s="1"/>
  <c r="BJ68" i="9"/>
  <c r="BJ70" i="9" s="1"/>
  <c r="BI68" i="9"/>
  <c r="BI70" i="9" s="1"/>
  <c r="BH68" i="9"/>
  <c r="BH70" i="9" s="1"/>
  <c r="BG68" i="9"/>
  <c r="BG70" i="9" s="1"/>
  <c r="BB68" i="9"/>
  <c r="BB70" i="9" s="1"/>
  <c r="BA68" i="9"/>
  <c r="BA70" i="9" s="1"/>
  <c r="AZ68" i="9"/>
  <c r="AZ70" i="9" s="1"/>
  <c r="AX68" i="9"/>
  <c r="AX70" i="9" s="1"/>
  <c r="AW68" i="9"/>
  <c r="AW70" i="9" s="1"/>
  <c r="AT68" i="9"/>
  <c r="AT70" i="9" s="1"/>
  <c r="AR68" i="9"/>
  <c r="AR70" i="9" s="1"/>
  <c r="AQ68" i="9"/>
  <c r="AQ70" i="9" s="1"/>
  <c r="AI68" i="9"/>
  <c r="AI70" i="9" s="1"/>
  <c r="AH68" i="9"/>
  <c r="AH70" i="9" s="1"/>
  <c r="AG68" i="9"/>
  <c r="AG70" i="9" s="1"/>
  <c r="AF68" i="9"/>
  <c r="AF70" i="9" s="1"/>
  <c r="AD68" i="9"/>
  <c r="AD70" i="9" s="1"/>
  <c r="AC68" i="9"/>
  <c r="AC70" i="9" s="1"/>
  <c r="AB68" i="9"/>
  <c r="AB70" i="9" s="1"/>
  <c r="AA68" i="9"/>
  <c r="AA70" i="9" s="1"/>
  <c r="Z68" i="9"/>
  <c r="Z70" i="9" s="1"/>
  <c r="Y68" i="9"/>
  <c r="Y70" i="9" s="1"/>
  <c r="X68" i="9"/>
  <c r="X70" i="9" s="1"/>
  <c r="W68" i="9"/>
  <c r="W70" i="9" s="1"/>
  <c r="V68" i="9"/>
  <c r="V70" i="9" s="1"/>
  <c r="U68" i="9"/>
  <c r="U70" i="9" s="1"/>
  <c r="T68" i="9"/>
  <c r="T70" i="9" s="1"/>
  <c r="S68" i="9"/>
  <c r="S70" i="9" s="1"/>
  <c r="R68" i="9"/>
  <c r="R70" i="9" s="1"/>
  <c r="Q68" i="9"/>
  <c r="Q70" i="9" s="1"/>
  <c r="P68" i="9"/>
  <c r="P70" i="9" s="1"/>
  <c r="O68" i="9"/>
  <c r="O70" i="9" s="1"/>
  <c r="N68" i="9"/>
  <c r="N70" i="9" s="1"/>
  <c r="M68" i="9"/>
  <c r="M70" i="9" s="1"/>
  <c r="L68" i="9"/>
  <c r="L70" i="9" s="1"/>
  <c r="K68" i="9"/>
  <c r="K70" i="9" s="1"/>
  <c r="J68" i="9"/>
  <c r="J70" i="9" s="1"/>
  <c r="I68" i="9"/>
  <c r="I70" i="9" s="1"/>
  <c r="H68" i="9"/>
  <c r="H70" i="9" s="1"/>
  <c r="G68" i="9"/>
  <c r="G70" i="9" s="1"/>
  <c r="F68" i="9"/>
  <c r="F70" i="9" s="1"/>
  <c r="E68" i="9"/>
  <c r="E70" i="9" s="1"/>
  <c r="D68" i="9"/>
  <c r="D70" i="9" s="1"/>
  <c r="C68" i="9"/>
  <c r="B66" i="9"/>
  <c r="BZ65" i="9"/>
  <c r="BY65" i="9"/>
  <c r="BX65" i="9"/>
  <c r="BW65" i="9"/>
  <c r="BV65" i="9"/>
  <c r="BU65" i="9"/>
  <c r="BT65" i="9"/>
  <c r="BS65" i="9"/>
  <c r="BR65" i="9"/>
  <c r="BQ65" i="9"/>
  <c r="BP65" i="9"/>
  <c r="BO65" i="9"/>
  <c r="BN65" i="9"/>
  <c r="BM65" i="9"/>
  <c r="BL65" i="9"/>
  <c r="BK65" i="9"/>
  <c r="BJ65" i="9"/>
  <c r="BI65" i="9"/>
  <c r="BH65" i="9"/>
  <c r="BG65" i="9"/>
  <c r="BF65" i="9"/>
  <c r="BE65" i="9"/>
  <c r="BD65" i="9"/>
  <c r="BC65" i="9"/>
  <c r="BB65" i="9"/>
  <c r="BA65" i="9"/>
  <c r="AZ65" i="9"/>
  <c r="AY65" i="9"/>
  <c r="AX65" i="9"/>
  <c r="AW65" i="9"/>
  <c r="AV65" i="9"/>
  <c r="AU65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D65" i="9"/>
  <c r="AC65" i="9"/>
  <c r="AB65" i="9"/>
  <c r="AA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BZ64" i="9"/>
  <c r="BY64" i="9"/>
  <c r="BX64" i="9"/>
  <c r="BW64" i="9"/>
  <c r="BV64" i="9"/>
  <c r="BU64" i="9"/>
  <c r="BT64" i="9"/>
  <c r="BS64" i="9"/>
  <c r="BR64" i="9"/>
  <c r="BQ64" i="9"/>
  <c r="BP64" i="9"/>
  <c r="BO64" i="9"/>
  <c r="BN64" i="9"/>
  <c r="BM64" i="9"/>
  <c r="BL64" i="9"/>
  <c r="BK64" i="9"/>
  <c r="BJ64" i="9"/>
  <c r="BI64" i="9"/>
  <c r="BH64" i="9"/>
  <c r="BG64" i="9"/>
  <c r="BF64" i="9"/>
  <c r="BE64" i="9"/>
  <c r="BD64" i="9"/>
  <c r="BC64" i="9"/>
  <c r="BB64" i="9"/>
  <c r="BA64" i="9"/>
  <c r="AZ64" i="9"/>
  <c r="AY64" i="9"/>
  <c r="AX64" i="9"/>
  <c r="AW64" i="9"/>
  <c r="AV64" i="9"/>
  <c r="AU64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D64" i="9"/>
  <c r="AC64" i="9"/>
  <c r="AB64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BZ63" i="9"/>
  <c r="BZ66" i="9" s="1"/>
  <c r="BY63" i="9"/>
  <c r="BY66" i="9" s="1"/>
  <c r="BX63" i="9"/>
  <c r="BX66" i="9" s="1"/>
  <c r="BW63" i="9"/>
  <c r="BW66" i="9" s="1"/>
  <c r="BV63" i="9"/>
  <c r="BV66" i="9" s="1"/>
  <c r="BU63" i="9"/>
  <c r="BU66" i="9" s="1"/>
  <c r="BT63" i="9"/>
  <c r="BT66" i="9" s="1"/>
  <c r="BS63" i="9"/>
  <c r="BS66" i="9" s="1"/>
  <c r="BR63" i="9"/>
  <c r="BR66" i="9" s="1"/>
  <c r="BQ63" i="9"/>
  <c r="BQ66" i="9" s="1"/>
  <c r="BP63" i="9"/>
  <c r="BP66" i="9" s="1"/>
  <c r="BO63" i="9"/>
  <c r="BO66" i="9" s="1"/>
  <c r="BN63" i="9"/>
  <c r="BN66" i="9" s="1"/>
  <c r="BM63" i="9"/>
  <c r="BM66" i="9" s="1"/>
  <c r="BL63" i="9"/>
  <c r="BL66" i="9" s="1"/>
  <c r="BK63" i="9"/>
  <c r="BK66" i="9" s="1"/>
  <c r="BJ63" i="9"/>
  <c r="BJ66" i="9" s="1"/>
  <c r="BI63" i="9"/>
  <c r="BI66" i="9" s="1"/>
  <c r="BH63" i="9"/>
  <c r="BH66" i="9" s="1"/>
  <c r="BG63" i="9"/>
  <c r="BG66" i="9" s="1"/>
  <c r="BF63" i="9"/>
  <c r="BF66" i="9" s="1"/>
  <c r="BE63" i="9"/>
  <c r="BE66" i="9" s="1"/>
  <c r="BD63" i="9"/>
  <c r="BD66" i="9" s="1"/>
  <c r="BC63" i="9"/>
  <c r="BC66" i="9" s="1"/>
  <c r="BB63" i="9"/>
  <c r="BB66" i="9" s="1"/>
  <c r="BA63" i="9"/>
  <c r="BA66" i="9" s="1"/>
  <c r="AZ63" i="9"/>
  <c r="AZ66" i="9" s="1"/>
  <c r="AY63" i="9"/>
  <c r="AY66" i="9" s="1"/>
  <c r="AX63" i="9"/>
  <c r="AX66" i="9" s="1"/>
  <c r="AW63" i="9"/>
  <c r="AW66" i="9" s="1"/>
  <c r="AV63" i="9"/>
  <c r="AV66" i="9" s="1"/>
  <c r="AU63" i="9"/>
  <c r="AU66" i="9" s="1"/>
  <c r="AT63" i="9"/>
  <c r="AT66" i="9" s="1"/>
  <c r="AS63" i="9"/>
  <c r="AS66" i="9" s="1"/>
  <c r="AR63" i="9"/>
  <c r="AR66" i="9" s="1"/>
  <c r="AQ63" i="9"/>
  <c r="AQ66" i="9" s="1"/>
  <c r="AP63" i="9"/>
  <c r="AP66" i="9" s="1"/>
  <c r="AO63" i="9"/>
  <c r="AO66" i="9" s="1"/>
  <c r="AN63" i="9"/>
  <c r="AN66" i="9" s="1"/>
  <c r="AM63" i="9"/>
  <c r="AM66" i="9" s="1"/>
  <c r="AL63" i="9"/>
  <c r="AL66" i="9" s="1"/>
  <c r="AK63" i="9"/>
  <c r="AK66" i="9" s="1"/>
  <c r="AJ63" i="9"/>
  <c r="AJ66" i="9" s="1"/>
  <c r="AI63" i="9"/>
  <c r="AI66" i="9" s="1"/>
  <c r="AH63" i="9"/>
  <c r="AH66" i="9" s="1"/>
  <c r="AG63" i="9"/>
  <c r="AG66" i="9" s="1"/>
  <c r="AF63" i="9"/>
  <c r="AF66" i="9" s="1"/>
  <c r="AD63" i="9"/>
  <c r="AD66" i="9" s="1"/>
  <c r="AC63" i="9"/>
  <c r="AC66" i="9" s="1"/>
  <c r="AB63" i="9"/>
  <c r="AB66" i="9" s="1"/>
  <c r="AA63" i="9"/>
  <c r="AA66" i="9" s="1"/>
  <c r="Z63" i="9"/>
  <c r="Z66" i="9" s="1"/>
  <c r="Y63" i="9"/>
  <c r="Y66" i="9" s="1"/>
  <c r="X63" i="9"/>
  <c r="X66" i="9" s="1"/>
  <c r="W63" i="9"/>
  <c r="W66" i="9" s="1"/>
  <c r="V63" i="9"/>
  <c r="V66" i="9" s="1"/>
  <c r="U63" i="9"/>
  <c r="U66" i="9" s="1"/>
  <c r="T63" i="9"/>
  <c r="T66" i="9" s="1"/>
  <c r="S63" i="9"/>
  <c r="S66" i="9" s="1"/>
  <c r="R63" i="9"/>
  <c r="R66" i="9" s="1"/>
  <c r="Q63" i="9"/>
  <c r="Q66" i="9" s="1"/>
  <c r="P63" i="9"/>
  <c r="P66" i="9" s="1"/>
  <c r="O63" i="9"/>
  <c r="O66" i="9" s="1"/>
  <c r="N63" i="9"/>
  <c r="N66" i="9" s="1"/>
  <c r="M63" i="9"/>
  <c r="M66" i="9" s="1"/>
  <c r="L63" i="9"/>
  <c r="L66" i="9" s="1"/>
  <c r="K63" i="9"/>
  <c r="K66" i="9" s="1"/>
  <c r="J63" i="9"/>
  <c r="J66" i="9" s="1"/>
  <c r="I63" i="9"/>
  <c r="I66" i="9" s="1"/>
  <c r="H63" i="9"/>
  <c r="H66" i="9" s="1"/>
  <c r="G63" i="9"/>
  <c r="G66" i="9" s="1"/>
  <c r="F63" i="9"/>
  <c r="F66" i="9" s="1"/>
  <c r="E63" i="9"/>
  <c r="E66" i="9" s="1"/>
  <c r="D63" i="9"/>
  <c r="D66" i="9" s="1"/>
  <c r="BZ61" i="9"/>
  <c r="BY61" i="9"/>
  <c r="BX61" i="9"/>
  <c r="BW61" i="9"/>
  <c r="BV61" i="9"/>
  <c r="BU61" i="9"/>
  <c r="BT61" i="9"/>
  <c r="BS61" i="9"/>
  <c r="BR61" i="9"/>
  <c r="BQ61" i="9"/>
  <c r="BP61" i="9"/>
  <c r="BO61" i="9"/>
  <c r="BN61" i="9"/>
  <c r="BM61" i="9"/>
  <c r="BL61" i="9"/>
  <c r="BK61" i="9"/>
  <c r="BJ61" i="9"/>
  <c r="BF61" i="9"/>
  <c r="BE61" i="9"/>
  <c r="BD61" i="9"/>
  <c r="BC61" i="9"/>
  <c r="AY61" i="9"/>
  <c r="AV61" i="9"/>
  <c r="AU61" i="9"/>
  <c r="AS61" i="9"/>
  <c r="AP61" i="9"/>
  <c r="AO61" i="9"/>
  <c r="AN61" i="9"/>
  <c r="AM61" i="9"/>
  <c r="AL61" i="9"/>
  <c r="AK61" i="9"/>
  <c r="AJ61" i="9"/>
  <c r="B61" i="9"/>
  <c r="BZ58" i="9"/>
  <c r="BY58" i="9"/>
  <c r="BX58" i="9"/>
  <c r="BF58" i="9"/>
  <c r="BE58" i="9"/>
  <c r="BD58" i="9"/>
  <c r="BC58" i="9"/>
  <c r="AY58" i="9"/>
  <c r="AV58" i="9"/>
  <c r="AU58" i="9"/>
  <c r="AS58" i="9"/>
  <c r="AP58" i="9"/>
  <c r="AO58" i="9"/>
  <c r="AN58" i="9"/>
  <c r="AM58" i="9"/>
  <c r="AL58" i="9"/>
  <c r="AK58" i="9"/>
  <c r="AJ58" i="9"/>
  <c r="AI58" i="9"/>
  <c r="B58" i="9"/>
  <c r="BW57" i="9"/>
  <c r="BW58" i="9" s="1"/>
  <c r="BV57" i="9"/>
  <c r="BV58" i="9" s="1"/>
  <c r="BU57" i="9"/>
  <c r="BU58" i="9" s="1"/>
  <c r="BT57" i="9"/>
  <c r="BT58" i="9" s="1"/>
  <c r="BS57" i="9"/>
  <c r="BS58" i="9" s="1"/>
  <c r="BR57" i="9"/>
  <c r="BR58" i="9" s="1"/>
  <c r="BQ57" i="9"/>
  <c r="BQ58" i="9" s="1"/>
  <c r="BP57" i="9"/>
  <c r="BP58" i="9" s="1"/>
  <c r="BO57" i="9"/>
  <c r="BO58" i="9" s="1"/>
  <c r="BN57" i="9"/>
  <c r="BN58" i="9" s="1"/>
  <c r="BM57" i="9"/>
  <c r="BM58" i="9" s="1"/>
  <c r="BL57" i="9"/>
  <c r="BL58" i="9" s="1"/>
  <c r="BK57" i="9"/>
  <c r="BK58" i="9" s="1"/>
  <c r="BJ57" i="9"/>
  <c r="BJ58" i="9" s="1"/>
  <c r="BI57" i="9"/>
  <c r="BI58" i="9" s="1"/>
  <c r="BH57" i="9"/>
  <c r="BH58" i="9" s="1"/>
  <c r="BG57" i="9"/>
  <c r="BG58" i="9" s="1"/>
  <c r="BB57" i="9"/>
  <c r="BB58" i="9" s="1"/>
  <c r="BA57" i="9"/>
  <c r="BA58" i="9" s="1"/>
  <c r="AZ57" i="9"/>
  <c r="AZ58" i="9" s="1"/>
  <c r="AX57" i="9"/>
  <c r="AX58" i="9" s="1"/>
  <c r="AW57" i="9"/>
  <c r="AW58" i="9" s="1"/>
  <c r="AT57" i="9"/>
  <c r="AT58" i="9" s="1"/>
  <c r="AR57" i="9"/>
  <c r="AR58" i="9" s="1"/>
  <c r="AQ57" i="9"/>
  <c r="AQ58" i="9" s="1"/>
  <c r="AH57" i="9"/>
  <c r="AH58" i="9" s="1"/>
  <c r="AG57" i="9"/>
  <c r="AG58" i="9" s="1"/>
  <c r="AF57" i="9"/>
  <c r="AF58" i="9" s="1"/>
  <c r="AD57" i="9"/>
  <c r="AD58" i="9" s="1"/>
  <c r="AC57" i="9"/>
  <c r="AC58" i="9" s="1"/>
  <c r="AB57" i="9"/>
  <c r="AB58" i="9" s="1"/>
  <c r="AA57" i="9"/>
  <c r="AA58" i="9" s="1"/>
  <c r="Z57" i="9"/>
  <c r="Z58" i="9" s="1"/>
  <c r="Y57" i="9"/>
  <c r="Y58" i="9" s="1"/>
  <c r="X57" i="9"/>
  <c r="X58" i="9" s="1"/>
  <c r="W57" i="9"/>
  <c r="W58" i="9" s="1"/>
  <c r="V57" i="9"/>
  <c r="V58" i="9" s="1"/>
  <c r="U57" i="9"/>
  <c r="U58" i="9" s="1"/>
  <c r="T57" i="9"/>
  <c r="T58" i="9" s="1"/>
  <c r="S57" i="9"/>
  <c r="S58" i="9" s="1"/>
  <c r="R57" i="9"/>
  <c r="R58" i="9" s="1"/>
  <c r="Q57" i="9"/>
  <c r="Q58" i="9" s="1"/>
  <c r="P57" i="9"/>
  <c r="P58" i="9" s="1"/>
  <c r="O57" i="9"/>
  <c r="O58" i="9" s="1"/>
  <c r="N57" i="9"/>
  <c r="N58" i="9" s="1"/>
  <c r="M57" i="9"/>
  <c r="M58" i="9" s="1"/>
  <c r="L57" i="9"/>
  <c r="L58" i="9" s="1"/>
  <c r="K57" i="9"/>
  <c r="K58" i="9" s="1"/>
  <c r="J57" i="9"/>
  <c r="J58" i="9" s="1"/>
  <c r="I57" i="9"/>
  <c r="I58" i="9" s="1"/>
  <c r="H57" i="9"/>
  <c r="H58" i="9" s="1"/>
  <c r="G57" i="9"/>
  <c r="G58" i="9" s="1"/>
  <c r="F57" i="9"/>
  <c r="F58" i="9" s="1"/>
  <c r="E57" i="9"/>
  <c r="E58" i="9" s="1"/>
  <c r="D57" i="9"/>
  <c r="D58" i="9" s="1"/>
  <c r="C57" i="9"/>
  <c r="BZ55" i="9"/>
  <c r="BY55" i="9"/>
  <c r="BX55" i="9"/>
  <c r="BF55" i="9"/>
  <c r="BE55" i="9"/>
  <c r="BD55" i="9"/>
  <c r="BC55" i="9"/>
  <c r="AY55" i="9"/>
  <c r="AV55" i="9"/>
  <c r="AU55" i="9"/>
  <c r="AS55" i="9"/>
  <c r="AP55" i="9"/>
  <c r="AO55" i="9"/>
  <c r="AN55" i="9"/>
  <c r="AM55" i="9"/>
  <c r="AL55" i="9"/>
  <c r="AK55" i="9"/>
  <c r="AJ55" i="9"/>
  <c r="CA53" i="9"/>
  <c r="BW52" i="9"/>
  <c r="BV52" i="9"/>
  <c r="BU52" i="9"/>
  <c r="BT52" i="9"/>
  <c r="BS52" i="9"/>
  <c r="BR52" i="9"/>
  <c r="BQ52" i="9"/>
  <c r="BP52" i="9"/>
  <c r="BO52" i="9"/>
  <c r="BN52" i="9"/>
  <c r="BM52" i="9"/>
  <c r="BL52" i="9"/>
  <c r="BK52" i="9"/>
  <c r="BJ52" i="9"/>
  <c r="BH52" i="9"/>
  <c r="BG52" i="9"/>
  <c r="BB52" i="9"/>
  <c r="AT52" i="9"/>
  <c r="AR52" i="9"/>
  <c r="AI52" i="9"/>
  <c r="AF52" i="9"/>
  <c r="B52" i="9"/>
  <c r="BW51" i="9"/>
  <c r="BV51" i="9"/>
  <c r="BU51" i="9"/>
  <c r="BT51" i="9"/>
  <c r="BS51" i="9"/>
  <c r="BR51" i="9"/>
  <c r="BQ51" i="9"/>
  <c r="BP51" i="9"/>
  <c r="BO51" i="9"/>
  <c r="BN51" i="9"/>
  <c r="BM51" i="9"/>
  <c r="BL51" i="9"/>
  <c r="BK51" i="9"/>
  <c r="BJ51" i="9"/>
  <c r="BH51" i="9"/>
  <c r="BG51" i="9"/>
  <c r="BB51" i="9"/>
  <c r="AT51" i="9"/>
  <c r="AR51" i="9"/>
  <c r="AI51" i="9"/>
  <c r="AF51" i="9"/>
  <c r="B51" i="9"/>
  <c r="BW50" i="9"/>
  <c r="BV50" i="9"/>
  <c r="BU50" i="9"/>
  <c r="BT50" i="9"/>
  <c r="BS50" i="9"/>
  <c r="BR50" i="9"/>
  <c r="BQ50" i="9"/>
  <c r="BP50" i="9"/>
  <c r="BO50" i="9"/>
  <c r="BN50" i="9"/>
  <c r="BM50" i="9"/>
  <c r="BL50" i="9"/>
  <c r="BK50" i="9"/>
  <c r="BJ50" i="9"/>
  <c r="BH50" i="9"/>
  <c r="BG50" i="9"/>
  <c r="BB50" i="9"/>
  <c r="AT50" i="9"/>
  <c r="AR50" i="9"/>
  <c r="AI50" i="9"/>
  <c r="AF50" i="9"/>
  <c r="B50" i="9"/>
  <c r="BW49" i="9"/>
  <c r="BV49" i="9"/>
  <c r="BU49" i="9"/>
  <c r="BT49" i="9"/>
  <c r="BS49" i="9"/>
  <c r="BR49" i="9"/>
  <c r="BQ49" i="9"/>
  <c r="BP49" i="9"/>
  <c r="BO49" i="9"/>
  <c r="BN49" i="9"/>
  <c r="BM49" i="9"/>
  <c r="BL49" i="9"/>
  <c r="BK49" i="9"/>
  <c r="BJ49" i="9"/>
  <c r="BH49" i="9"/>
  <c r="BG49" i="9"/>
  <c r="BB49" i="9"/>
  <c r="AT49" i="9"/>
  <c r="AR49" i="9"/>
  <c r="AI49" i="9"/>
  <c r="AF49" i="9"/>
  <c r="B49" i="9"/>
  <c r="BW48" i="9"/>
  <c r="BV48" i="9"/>
  <c r="BU48" i="9"/>
  <c r="BT48" i="9"/>
  <c r="BS48" i="9"/>
  <c r="BR48" i="9"/>
  <c r="BQ48" i="9"/>
  <c r="BP48" i="9"/>
  <c r="BO48" i="9"/>
  <c r="BN48" i="9"/>
  <c r="BM48" i="9"/>
  <c r="BL48" i="9"/>
  <c r="BK48" i="9"/>
  <c r="BJ48" i="9"/>
  <c r="BH48" i="9"/>
  <c r="BG48" i="9"/>
  <c r="BB48" i="9"/>
  <c r="AT48" i="9"/>
  <c r="AR48" i="9"/>
  <c r="AI48" i="9"/>
  <c r="AF48" i="9"/>
  <c r="B48" i="9"/>
  <c r="BW47" i="9"/>
  <c r="BV47" i="9"/>
  <c r="BU47" i="9"/>
  <c r="BT47" i="9"/>
  <c r="BS47" i="9"/>
  <c r="BR47" i="9"/>
  <c r="BQ47" i="9"/>
  <c r="BP47" i="9"/>
  <c r="BO47" i="9"/>
  <c r="BN47" i="9"/>
  <c r="BM47" i="9"/>
  <c r="BL47" i="9"/>
  <c r="BK47" i="9"/>
  <c r="BJ47" i="9"/>
  <c r="BH47" i="9"/>
  <c r="BG47" i="9"/>
  <c r="BB47" i="9"/>
  <c r="AT47" i="9"/>
  <c r="AR47" i="9"/>
  <c r="AI47" i="9"/>
  <c r="AF47" i="9"/>
  <c r="B47" i="9"/>
  <c r="BW46" i="9"/>
  <c r="BW55" i="9" s="1"/>
  <c r="BV46" i="9"/>
  <c r="BV55" i="9" s="1"/>
  <c r="BU46" i="9"/>
  <c r="BU55" i="9" s="1"/>
  <c r="BT46" i="9"/>
  <c r="BT55" i="9" s="1"/>
  <c r="BS46" i="9"/>
  <c r="BS55" i="9" s="1"/>
  <c r="BR46" i="9"/>
  <c r="BR55" i="9" s="1"/>
  <c r="BQ46" i="9"/>
  <c r="BQ55" i="9" s="1"/>
  <c r="BP46" i="9"/>
  <c r="BP55" i="9" s="1"/>
  <c r="BO46" i="9"/>
  <c r="BO55" i="9" s="1"/>
  <c r="BN46" i="9"/>
  <c r="BN55" i="9" s="1"/>
  <c r="BM46" i="9"/>
  <c r="BM55" i="9" s="1"/>
  <c r="BL46" i="9"/>
  <c r="BL55" i="9" s="1"/>
  <c r="BK46" i="9"/>
  <c r="BK55" i="9" s="1"/>
  <c r="BJ46" i="9"/>
  <c r="BJ55" i="9" s="1"/>
  <c r="BH46" i="9"/>
  <c r="BH55" i="9" s="1"/>
  <c r="BG46" i="9"/>
  <c r="BG55" i="9" s="1"/>
  <c r="BB46" i="9"/>
  <c r="BB55" i="9" s="1"/>
  <c r="AT46" i="9"/>
  <c r="AT55" i="9" s="1"/>
  <c r="AR46" i="9"/>
  <c r="AR55" i="9" s="1"/>
  <c r="AI46" i="9"/>
  <c r="AI55" i="9" s="1"/>
  <c r="AF46" i="9"/>
  <c r="AF55" i="9" s="1"/>
  <c r="BZ44" i="9"/>
  <c r="BY44" i="9"/>
  <c r="BX44" i="9"/>
  <c r="BF44" i="9"/>
  <c r="BE44" i="9"/>
  <c r="BD44" i="9"/>
  <c r="BC44" i="9"/>
  <c r="AY44" i="9"/>
  <c r="AV44" i="9"/>
  <c r="AU44" i="9"/>
  <c r="AS44" i="9"/>
  <c r="AP44" i="9"/>
  <c r="AO44" i="9"/>
  <c r="AN44" i="9"/>
  <c r="AM44" i="9"/>
  <c r="AL44" i="9"/>
  <c r="AK44" i="9"/>
  <c r="AJ44" i="9"/>
  <c r="AI44" i="9"/>
  <c r="BW43" i="9"/>
  <c r="BV43" i="9"/>
  <c r="BU43" i="9"/>
  <c r="BT43" i="9"/>
  <c r="BS43" i="9"/>
  <c r="BR43" i="9"/>
  <c r="BQ43" i="9"/>
  <c r="BP43" i="9"/>
  <c r="BO43" i="9"/>
  <c r="BN43" i="9"/>
  <c r="BM43" i="9"/>
  <c r="BL43" i="9"/>
  <c r="BK43" i="9"/>
  <c r="BJ43" i="9"/>
  <c r="BH43" i="9"/>
  <c r="BG43" i="9"/>
  <c r="BB43" i="9"/>
  <c r="AT43" i="9"/>
  <c r="AR43" i="9"/>
  <c r="AF43" i="9"/>
  <c r="B43" i="9"/>
  <c r="BW42" i="9"/>
  <c r="BW44" i="9" s="1"/>
  <c r="BV42" i="9"/>
  <c r="BV44" i="9" s="1"/>
  <c r="BU42" i="9"/>
  <c r="BU44" i="9" s="1"/>
  <c r="BT42" i="9"/>
  <c r="BT44" i="9" s="1"/>
  <c r="BS42" i="9"/>
  <c r="BS44" i="9" s="1"/>
  <c r="BR42" i="9"/>
  <c r="BR44" i="9" s="1"/>
  <c r="BQ42" i="9"/>
  <c r="BQ44" i="9" s="1"/>
  <c r="BP42" i="9"/>
  <c r="BP44" i="9" s="1"/>
  <c r="BO42" i="9"/>
  <c r="BO44" i="9" s="1"/>
  <c r="BN42" i="9"/>
  <c r="BN44" i="9" s="1"/>
  <c r="BM42" i="9"/>
  <c r="BM44" i="9" s="1"/>
  <c r="BL42" i="9"/>
  <c r="BL44" i="9" s="1"/>
  <c r="BK42" i="9"/>
  <c r="BK44" i="9" s="1"/>
  <c r="BJ42" i="9"/>
  <c r="BJ44" i="9" s="1"/>
  <c r="BH42" i="9"/>
  <c r="BH44" i="9" s="1"/>
  <c r="BG42" i="9"/>
  <c r="BG44" i="9" s="1"/>
  <c r="BB42" i="9"/>
  <c r="BB44" i="9" s="1"/>
  <c r="AT42" i="9"/>
  <c r="AT44" i="9" s="1"/>
  <c r="AR42" i="9"/>
  <c r="AR44" i="9" s="1"/>
  <c r="AF42" i="9"/>
  <c r="B42" i="9"/>
  <c r="BZ40" i="9"/>
  <c r="BY40" i="9"/>
  <c r="BX40" i="9"/>
  <c r="BG40" i="9"/>
  <c r="BF40" i="9"/>
  <c r="BE40" i="9"/>
  <c r="BD40" i="9"/>
  <c r="BC40" i="9"/>
  <c r="AY40" i="9"/>
  <c r="AV40" i="9"/>
  <c r="AU40" i="9"/>
  <c r="AS40" i="9"/>
  <c r="AP40" i="9"/>
  <c r="AO40" i="9"/>
  <c r="AN40" i="9"/>
  <c r="AM40" i="9"/>
  <c r="AL40" i="9"/>
  <c r="AK40" i="9"/>
  <c r="AJ40" i="9"/>
  <c r="AI40" i="9"/>
  <c r="BW38" i="9"/>
  <c r="BW40" i="9" s="1"/>
  <c r="BV38" i="9"/>
  <c r="BV40" i="9" s="1"/>
  <c r="BU38" i="9"/>
  <c r="BU40" i="9" s="1"/>
  <c r="BT38" i="9"/>
  <c r="BT40" i="9" s="1"/>
  <c r="BS38" i="9"/>
  <c r="BS40" i="9" s="1"/>
  <c r="BR38" i="9"/>
  <c r="BR40" i="9" s="1"/>
  <c r="BQ38" i="9"/>
  <c r="BQ40" i="9" s="1"/>
  <c r="BP38" i="9"/>
  <c r="BP40" i="9" s="1"/>
  <c r="BO38" i="9"/>
  <c r="BO40" i="9" s="1"/>
  <c r="BN38" i="9"/>
  <c r="BN40" i="9" s="1"/>
  <c r="BM38" i="9"/>
  <c r="BM40" i="9" s="1"/>
  <c r="BL38" i="9"/>
  <c r="BL40" i="9" s="1"/>
  <c r="BK38" i="9"/>
  <c r="BK40" i="9" s="1"/>
  <c r="BJ38" i="9"/>
  <c r="BJ40" i="9" s="1"/>
  <c r="BH38" i="9"/>
  <c r="BH40" i="9" s="1"/>
  <c r="BB38" i="9"/>
  <c r="AT38" i="9"/>
  <c r="AT40" i="9" s="1"/>
  <c r="AR38" i="9"/>
  <c r="AR40" i="9" s="1"/>
  <c r="AF38" i="9"/>
  <c r="AF40" i="9" s="1"/>
  <c r="B37" i="9"/>
  <c r="BZ32" i="9"/>
  <c r="BY32" i="9"/>
  <c r="BX32" i="9"/>
  <c r="BF32" i="9"/>
  <c r="BE32" i="9"/>
  <c r="BD32" i="9"/>
  <c r="BC32" i="9"/>
  <c r="AY32" i="9"/>
  <c r="AV32" i="9"/>
  <c r="AU32" i="9"/>
  <c r="AS32" i="9"/>
  <c r="AR32" i="9"/>
  <c r="AP32" i="9"/>
  <c r="AO32" i="9"/>
  <c r="AN32" i="9"/>
  <c r="AM32" i="9"/>
  <c r="AL32" i="9"/>
  <c r="AK32" i="9"/>
  <c r="AJ32" i="9"/>
  <c r="AI32" i="9"/>
  <c r="BW31" i="9"/>
  <c r="BV31" i="9"/>
  <c r="BU31" i="9"/>
  <c r="BT31" i="9"/>
  <c r="BS31" i="9"/>
  <c r="BR31" i="9"/>
  <c r="BQ31" i="9"/>
  <c r="BP31" i="9"/>
  <c r="BO31" i="9"/>
  <c r="BN31" i="9"/>
  <c r="BM31" i="9"/>
  <c r="BL31" i="9"/>
  <c r="BK31" i="9"/>
  <c r="BJ31" i="9"/>
  <c r="BI31" i="9"/>
  <c r="BH31" i="9"/>
  <c r="BG31" i="9"/>
  <c r="BB31" i="9"/>
  <c r="BA31" i="9"/>
  <c r="AZ31" i="9"/>
  <c r="AX31" i="9"/>
  <c r="AW31" i="9"/>
  <c r="AT31" i="9"/>
  <c r="AQ31" i="9"/>
  <c r="AH31" i="9"/>
  <c r="AG31" i="9"/>
  <c r="AF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CA31" i="9" s="1"/>
  <c r="BW30" i="9"/>
  <c r="BW32" i="9" s="1"/>
  <c r="BV30" i="9"/>
  <c r="BV32" i="9" s="1"/>
  <c r="BU30" i="9"/>
  <c r="BU32" i="9" s="1"/>
  <c r="BT30" i="9"/>
  <c r="BT32" i="9" s="1"/>
  <c r="BS30" i="9"/>
  <c r="BS32" i="9" s="1"/>
  <c r="BR30" i="9"/>
  <c r="BR32" i="9" s="1"/>
  <c r="BQ30" i="9"/>
  <c r="BQ32" i="9" s="1"/>
  <c r="BP30" i="9"/>
  <c r="BP32" i="9" s="1"/>
  <c r="BO30" i="9"/>
  <c r="BO32" i="9" s="1"/>
  <c r="BN30" i="9"/>
  <c r="BN32" i="9" s="1"/>
  <c r="BM30" i="9"/>
  <c r="BM32" i="9" s="1"/>
  <c r="BL30" i="9"/>
  <c r="BL32" i="9" s="1"/>
  <c r="BK30" i="9"/>
  <c r="BK32" i="9" s="1"/>
  <c r="BJ30" i="9"/>
  <c r="BJ32" i="9" s="1"/>
  <c r="BI30" i="9"/>
  <c r="BI32" i="9" s="1"/>
  <c r="BH30" i="9"/>
  <c r="BH32" i="9" s="1"/>
  <c r="BG30" i="9"/>
  <c r="BG32" i="9" s="1"/>
  <c r="BB30" i="9"/>
  <c r="BB32" i="9" s="1"/>
  <c r="BA30" i="9"/>
  <c r="BA32" i="9" s="1"/>
  <c r="AZ30" i="9"/>
  <c r="AZ32" i="9" s="1"/>
  <c r="AX30" i="9"/>
  <c r="AX32" i="9" s="1"/>
  <c r="AW30" i="9"/>
  <c r="AW32" i="9" s="1"/>
  <c r="AT30" i="9"/>
  <c r="AT32" i="9" s="1"/>
  <c r="AQ30" i="9"/>
  <c r="AQ32" i="9" s="1"/>
  <c r="AH30" i="9"/>
  <c r="AH32" i="9" s="1"/>
  <c r="AG30" i="9"/>
  <c r="AG32" i="9" s="1"/>
  <c r="AF30" i="9"/>
  <c r="AF32" i="9" s="1"/>
  <c r="AD30" i="9"/>
  <c r="AD32" i="9" s="1"/>
  <c r="AC30" i="9"/>
  <c r="AC32" i="9" s="1"/>
  <c r="AB30" i="9"/>
  <c r="AB32" i="9" s="1"/>
  <c r="AA30" i="9"/>
  <c r="AA32" i="9" s="1"/>
  <c r="Z30" i="9"/>
  <c r="Z32" i="9" s="1"/>
  <c r="Y30" i="9"/>
  <c r="Y32" i="9" s="1"/>
  <c r="X30" i="9"/>
  <c r="X32" i="9" s="1"/>
  <c r="W30" i="9"/>
  <c r="W32" i="9" s="1"/>
  <c r="V30" i="9"/>
  <c r="V32" i="9" s="1"/>
  <c r="U30" i="9"/>
  <c r="U32" i="9" s="1"/>
  <c r="T30" i="9"/>
  <c r="T32" i="9" s="1"/>
  <c r="S30" i="9"/>
  <c r="S32" i="9" s="1"/>
  <c r="R30" i="9"/>
  <c r="R32" i="9" s="1"/>
  <c r="Q30" i="9"/>
  <c r="Q32" i="9" s="1"/>
  <c r="P30" i="9"/>
  <c r="P32" i="9" s="1"/>
  <c r="O30" i="9"/>
  <c r="O32" i="9" s="1"/>
  <c r="N30" i="9"/>
  <c r="N32" i="9" s="1"/>
  <c r="M30" i="9"/>
  <c r="M32" i="9" s="1"/>
  <c r="L30" i="9"/>
  <c r="L32" i="9" s="1"/>
  <c r="K30" i="9"/>
  <c r="K32" i="9" s="1"/>
  <c r="J30" i="9"/>
  <c r="J32" i="9" s="1"/>
  <c r="I30" i="9"/>
  <c r="I32" i="9" s="1"/>
  <c r="H30" i="9"/>
  <c r="H32" i="9" s="1"/>
  <c r="G30" i="9"/>
  <c r="G32" i="9" s="1"/>
  <c r="F30" i="9"/>
  <c r="F32" i="9" s="1"/>
  <c r="E30" i="9"/>
  <c r="E32" i="9" s="1"/>
  <c r="D30" i="9"/>
  <c r="D32" i="9" s="1"/>
  <c r="C30" i="9"/>
  <c r="C32" i="9" s="1"/>
  <c r="B30" i="9"/>
  <c r="BZ28" i="9"/>
  <c r="BY28" i="9"/>
  <c r="BX28" i="9"/>
  <c r="BF28" i="9"/>
  <c r="BE28" i="9"/>
  <c r="BD28" i="9"/>
  <c r="BC28" i="9"/>
  <c r="AY28" i="9"/>
  <c r="AV28" i="9"/>
  <c r="AU28" i="9"/>
  <c r="AS28" i="9"/>
  <c r="AR28" i="9"/>
  <c r="AP28" i="9"/>
  <c r="AO28" i="9"/>
  <c r="AN28" i="9"/>
  <c r="AM28" i="9"/>
  <c r="AL28" i="9"/>
  <c r="AK28" i="9"/>
  <c r="AJ28" i="9"/>
  <c r="AI28" i="9"/>
  <c r="BW27" i="9"/>
  <c r="BV27" i="9"/>
  <c r="BU27" i="9"/>
  <c r="BT27" i="9"/>
  <c r="BS27" i="9"/>
  <c r="BR27" i="9"/>
  <c r="BQ27" i="9"/>
  <c r="BP27" i="9"/>
  <c r="BO27" i="9"/>
  <c r="BN27" i="9"/>
  <c r="BM27" i="9"/>
  <c r="BL27" i="9"/>
  <c r="BK27" i="9"/>
  <c r="BJ27" i="9"/>
  <c r="BI27" i="9"/>
  <c r="BH27" i="9"/>
  <c r="BG27" i="9"/>
  <c r="BB27" i="9"/>
  <c r="BA27" i="9"/>
  <c r="AZ27" i="9"/>
  <c r="AX27" i="9"/>
  <c r="AW27" i="9"/>
  <c r="AT27" i="9"/>
  <c r="AQ27" i="9"/>
  <c r="AH27" i="9"/>
  <c r="AG27" i="9"/>
  <c r="AF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CA27" i="9" s="1"/>
  <c r="BW26" i="9"/>
  <c r="BV26" i="9"/>
  <c r="BU26" i="9"/>
  <c r="BT26" i="9"/>
  <c r="BS26" i="9"/>
  <c r="BR26" i="9"/>
  <c r="BQ26" i="9"/>
  <c r="BP26" i="9"/>
  <c r="BO26" i="9"/>
  <c r="BN26" i="9"/>
  <c r="BM26" i="9"/>
  <c r="BL26" i="9"/>
  <c r="BK26" i="9"/>
  <c r="BJ26" i="9"/>
  <c r="BI26" i="9"/>
  <c r="BH26" i="9"/>
  <c r="BG26" i="9"/>
  <c r="BB26" i="9"/>
  <c r="BA26" i="9"/>
  <c r="AZ26" i="9"/>
  <c r="AX26" i="9"/>
  <c r="AW26" i="9"/>
  <c r="AT26" i="9"/>
  <c r="AQ26" i="9"/>
  <c r="AH26" i="9"/>
  <c r="AG26" i="9"/>
  <c r="AF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/>
  <c r="CA26" i="9" s="1"/>
  <c r="BW25" i="9"/>
  <c r="BW28" i="9" s="1"/>
  <c r="BV25" i="9"/>
  <c r="BV28" i="9" s="1"/>
  <c r="BU25" i="9"/>
  <c r="BU28" i="9" s="1"/>
  <c r="BT25" i="9"/>
  <c r="BT28" i="9" s="1"/>
  <c r="BS25" i="9"/>
  <c r="BS28" i="9" s="1"/>
  <c r="BR25" i="9"/>
  <c r="BR28" i="9" s="1"/>
  <c r="BQ25" i="9"/>
  <c r="BQ28" i="9" s="1"/>
  <c r="BP25" i="9"/>
  <c r="BP28" i="9" s="1"/>
  <c r="BO25" i="9"/>
  <c r="BO28" i="9" s="1"/>
  <c r="BN25" i="9"/>
  <c r="BN28" i="9" s="1"/>
  <c r="BM25" i="9"/>
  <c r="BM28" i="9" s="1"/>
  <c r="BL25" i="9"/>
  <c r="BL28" i="9" s="1"/>
  <c r="BK25" i="9"/>
  <c r="BK28" i="9" s="1"/>
  <c r="BJ25" i="9"/>
  <c r="BJ28" i="9" s="1"/>
  <c r="BI25" i="9"/>
  <c r="BI28" i="9" s="1"/>
  <c r="BH25" i="9"/>
  <c r="BH28" i="9" s="1"/>
  <c r="BG25" i="9"/>
  <c r="BG28" i="9" s="1"/>
  <c r="BB25" i="9"/>
  <c r="BB28" i="9" s="1"/>
  <c r="BA25" i="9"/>
  <c r="BA28" i="9" s="1"/>
  <c r="AZ25" i="9"/>
  <c r="AZ28" i="9" s="1"/>
  <c r="AX25" i="9"/>
  <c r="AX28" i="9" s="1"/>
  <c r="AW25" i="9"/>
  <c r="AW28" i="9" s="1"/>
  <c r="AT25" i="9"/>
  <c r="AT28" i="9" s="1"/>
  <c r="AQ25" i="9"/>
  <c r="AQ28" i="9" s="1"/>
  <c r="AH25" i="9"/>
  <c r="AH28" i="9" s="1"/>
  <c r="AG25" i="9"/>
  <c r="AG28" i="9" s="1"/>
  <c r="AF25" i="9"/>
  <c r="AF28" i="9" s="1"/>
  <c r="AD25" i="9"/>
  <c r="AD28" i="9" s="1"/>
  <c r="AC25" i="9"/>
  <c r="AC28" i="9" s="1"/>
  <c r="AB25" i="9"/>
  <c r="AB28" i="9" s="1"/>
  <c r="AA25" i="9"/>
  <c r="AA28" i="9" s="1"/>
  <c r="Z25" i="9"/>
  <c r="Z28" i="9" s="1"/>
  <c r="Y25" i="9"/>
  <c r="Y28" i="9" s="1"/>
  <c r="X25" i="9"/>
  <c r="X28" i="9" s="1"/>
  <c r="W25" i="9"/>
  <c r="W28" i="9" s="1"/>
  <c r="V25" i="9"/>
  <c r="V28" i="9" s="1"/>
  <c r="U25" i="9"/>
  <c r="U28" i="9" s="1"/>
  <c r="T25" i="9"/>
  <c r="T28" i="9" s="1"/>
  <c r="S25" i="9"/>
  <c r="S28" i="9" s="1"/>
  <c r="R25" i="9"/>
  <c r="R28" i="9" s="1"/>
  <c r="Q25" i="9"/>
  <c r="Q28" i="9" s="1"/>
  <c r="P25" i="9"/>
  <c r="P28" i="9" s="1"/>
  <c r="O25" i="9"/>
  <c r="O28" i="9" s="1"/>
  <c r="N25" i="9"/>
  <c r="N28" i="9" s="1"/>
  <c r="M25" i="9"/>
  <c r="M28" i="9" s="1"/>
  <c r="L25" i="9"/>
  <c r="L28" i="9" s="1"/>
  <c r="K25" i="9"/>
  <c r="K28" i="9" s="1"/>
  <c r="J25" i="9"/>
  <c r="J28" i="9" s="1"/>
  <c r="I25" i="9"/>
  <c r="I28" i="9" s="1"/>
  <c r="H25" i="9"/>
  <c r="H28" i="9" s="1"/>
  <c r="G25" i="9"/>
  <c r="G28" i="9" s="1"/>
  <c r="F25" i="9"/>
  <c r="F28" i="9" s="1"/>
  <c r="E25" i="9"/>
  <c r="E28" i="9" s="1"/>
  <c r="D25" i="9"/>
  <c r="D28" i="9" s="1"/>
  <c r="C25" i="9"/>
  <c r="C28" i="9" s="1"/>
  <c r="B25" i="9"/>
  <c r="CA23" i="9"/>
  <c r="BZ22" i="9"/>
  <c r="BY22" i="9"/>
  <c r="BX22" i="9"/>
  <c r="BF22" i="9"/>
  <c r="BE22" i="9"/>
  <c r="BD22" i="9"/>
  <c r="BC22" i="9"/>
  <c r="AY22" i="9"/>
  <c r="AV22" i="9"/>
  <c r="AU22" i="9"/>
  <c r="AS22" i="9"/>
  <c r="AP22" i="9"/>
  <c r="AO22" i="9"/>
  <c r="AN22" i="9"/>
  <c r="AM22" i="9"/>
  <c r="AL22" i="9"/>
  <c r="AK22" i="9"/>
  <c r="AJ22" i="9"/>
  <c r="AI22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B21" i="9"/>
  <c r="BA21" i="9"/>
  <c r="AZ21" i="9"/>
  <c r="AX21" i="9"/>
  <c r="AW21" i="9"/>
  <c r="AT21" i="9"/>
  <c r="AR21" i="9"/>
  <c r="AQ21" i="9"/>
  <c r="AH21" i="9"/>
  <c r="AG21" i="9"/>
  <c r="AF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CA21" i="9" s="1"/>
  <c r="BW20" i="9"/>
  <c r="BV20" i="9"/>
  <c r="BU20" i="9"/>
  <c r="BT20" i="9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B20" i="9"/>
  <c r="BA20" i="9"/>
  <c r="AZ20" i="9"/>
  <c r="AX20" i="9"/>
  <c r="AW20" i="9"/>
  <c r="AT20" i="9"/>
  <c r="AR20" i="9"/>
  <c r="AQ20" i="9"/>
  <c r="AH20" i="9"/>
  <c r="AG20" i="9"/>
  <c r="AF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CA20" i="9" s="1"/>
  <c r="BW19" i="9"/>
  <c r="BW22" i="9" s="1"/>
  <c r="BV19" i="9"/>
  <c r="BV22" i="9" s="1"/>
  <c r="BU19" i="9"/>
  <c r="BU22" i="9" s="1"/>
  <c r="BT19" i="9"/>
  <c r="BT22" i="9" s="1"/>
  <c r="BS19" i="9"/>
  <c r="BS22" i="9" s="1"/>
  <c r="BR19" i="9"/>
  <c r="BR22" i="9" s="1"/>
  <c r="BQ19" i="9"/>
  <c r="BQ22" i="9" s="1"/>
  <c r="BP19" i="9"/>
  <c r="BP22" i="9" s="1"/>
  <c r="BO19" i="9"/>
  <c r="BO22" i="9" s="1"/>
  <c r="BN19" i="9"/>
  <c r="BN22" i="9" s="1"/>
  <c r="BM19" i="9"/>
  <c r="BM22" i="9" s="1"/>
  <c r="BL19" i="9"/>
  <c r="BL22" i="9" s="1"/>
  <c r="BK19" i="9"/>
  <c r="BK22" i="9" s="1"/>
  <c r="BJ19" i="9"/>
  <c r="BJ22" i="9" s="1"/>
  <c r="BI19" i="9"/>
  <c r="BI22" i="9" s="1"/>
  <c r="BH19" i="9"/>
  <c r="BH22" i="9" s="1"/>
  <c r="BG19" i="9"/>
  <c r="BG22" i="9" s="1"/>
  <c r="BB19" i="9"/>
  <c r="BB22" i="9" s="1"/>
  <c r="BA19" i="9"/>
  <c r="BA22" i="9" s="1"/>
  <c r="AZ19" i="9"/>
  <c r="AZ22" i="9" s="1"/>
  <c r="AX19" i="9"/>
  <c r="AX22" i="9" s="1"/>
  <c r="AW19" i="9"/>
  <c r="AW22" i="9" s="1"/>
  <c r="AT19" i="9"/>
  <c r="AT22" i="9" s="1"/>
  <c r="AR19" i="9"/>
  <c r="AR22" i="9" s="1"/>
  <c r="AQ19" i="9"/>
  <c r="AQ22" i="9" s="1"/>
  <c r="AH19" i="9"/>
  <c r="AH22" i="9" s="1"/>
  <c r="AG19" i="9"/>
  <c r="AG22" i="9" s="1"/>
  <c r="AF19" i="9"/>
  <c r="AF22" i="9" s="1"/>
  <c r="AD19" i="9"/>
  <c r="AD22" i="9" s="1"/>
  <c r="AC19" i="9"/>
  <c r="AC22" i="9" s="1"/>
  <c r="AB19" i="9"/>
  <c r="AB22" i="9" s="1"/>
  <c r="AA19" i="9"/>
  <c r="AA22" i="9" s="1"/>
  <c r="Z19" i="9"/>
  <c r="Z22" i="9" s="1"/>
  <c r="Y19" i="9"/>
  <c r="Y22" i="9" s="1"/>
  <c r="X19" i="9"/>
  <c r="X22" i="9" s="1"/>
  <c r="W19" i="9"/>
  <c r="W22" i="9" s="1"/>
  <c r="V19" i="9"/>
  <c r="V22" i="9" s="1"/>
  <c r="U19" i="9"/>
  <c r="U22" i="9" s="1"/>
  <c r="T19" i="9"/>
  <c r="T22" i="9" s="1"/>
  <c r="S19" i="9"/>
  <c r="S22" i="9" s="1"/>
  <c r="R19" i="9"/>
  <c r="R22" i="9" s="1"/>
  <c r="Q19" i="9"/>
  <c r="Q22" i="9" s="1"/>
  <c r="P19" i="9"/>
  <c r="P22" i="9" s="1"/>
  <c r="O19" i="9"/>
  <c r="O22" i="9" s="1"/>
  <c r="N19" i="9"/>
  <c r="N22" i="9" s="1"/>
  <c r="M19" i="9"/>
  <c r="M22" i="9" s="1"/>
  <c r="L19" i="9"/>
  <c r="L22" i="9" s="1"/>
  <c r="K19" i="9"/>
  <c r="K22" i="9" s="1"/>
  <c r="J19" i="9"/>
  <c r="J22" i="9" s="1"/>
  <c r="I19" i="9"/>
  <c r="I22" i="9" s="1"/>
  <c r="H19" i="9"/>
  <c r="H22" i="9" s="1"/>
  <c r="G19" i="9"/>
  <c r="G22" i="9" s="1"/>
  <c r="F19" i="9"/>
  <c r="F22" i="9" s="1"/>
  <c r="E19" i="9"/>
  <c r="E22" i="9" s="1"/>
  <c r="D19" i="9"/>
  <c r="D22" i="9" s="1"/>
  <c r="C19" i="9"/>
  <c r="C22" i="9" s="1"/>
  <c r="B19" i="9"/>
  <c r="BZ17" i="9"/>
  <c r="BZ33" i="9" s="1"/>
  <c r="BZ34" i="9" s="1"/>
  <c r="BY17" i="9"/>
  <c r="BY33" i="9" s="1"/>
  <c r="BY34" i="9" s="1"/>
  <c r="BX17" i="9"/>
  <c r="BX33" i="9" s="1"/>
  <c r="BX34" i="9" s="1"/>
  <c r="BF17" i="9"/>
  <c r="BF33" i="9" s="1"/>
  <c r="BF34" i="9" s="1"/>
  <c r="BE17" i="9"/>
  <c r="BE33" i="9" s="1"/>
  <c r="BE34" i="9" s="1"/>
  <c r="BD17" i="9"/>
  <c r="BD33" i="9" s="1"/>
  <c r="BD34" i="9" s="1"/>
  <c r="BC17" i="9"/>
  <c r="BC33" i="9" s="1"/>
  <c r="BC34" i="9" s="1"/>
  <c r="AY17" i="9"/>
  <c r="AY33" i="9" s="1"/>
  <c r="AY34" i="9" s="1"/>
  <c r="AV17" i="9"/>
  <c r="AV33" i="9" s="1"/>
  <c r="AV34" i="9" s="1"/>
  <c r="AU17" i="9"/>
  <c r="AU33" i="9" s="1"/>
  <c r="AU34" i="9" s="1"/>
  <c r="AS17" i="9"/>
  <c r="AS33" i="9" s="1"/>
  <c r="AS34" i="9" s="1"/>
  <c r="AR17" i="9"/>
  <c r="AR33" i="9" s="1"/>
  <c r="AR34" i="9" s="1"/>
  <c r="AP17" i="9"/>
  <c r="AP33" i="9" s="1"/>
  <c r="AP34" i="9" s="1"/>
  <c r="AO17" i="9"/>
  <c r="AO33" i="9" s="1"/>
  <c r="AO34" i="9" s="1"/>
  <c r="AN17" i="9"/>
  <c r="AN33" i="9" s="1"/>
  <c r="AN34" i="9" s="1"/>
  <c r="AM17" i="9"/>
  <c r="AM33" i="9" s="1"/>
  <c r="AM34" i="9" s="1"/>
  <c r="AL17" i="9"/>
  <c r="AL33" i="9" s="1"/>
  <c r="AL34" i="9" s="1"/>
  <c r="AK17" i="9"/>
  <c r="AK33" i="9" s="1"/>
  <c r="AK34" i="9" s="1"/>
  <c r="AJ17" i="9"/>
  <c r="AJ33" i="9" s="1"/>
  <c r="AJ34" i="9" s="1"/>
  <c r="AI17" i="9"/>
  <c r="AI33" i="9" s="1"/>
  <c r="AI34" i="9" s="1"/>
  <c r="BW16" i="9"/>
  <c r="BV16" i="9"/>
  <c r="BU16" i="9"/>
  <c r="BT16" i="9"/>
  <c r="BS16" i="9"/>
  <c r="BR16" i="9"/>
  <c r="BQ16" i="9"/>
  <c r="BP16" i="9"/>
  <c r="BO16" i="9"/>
  <c r="BN16" i="9"/>
  <c r="BM16" i="9"/>
  <c r="BL16" i="9"/>
  <c r="BK16" i="9"/>
  <c r="BJ16" i="9"/>
  <c r="BI16" i="9"/>
  <c r="BH16" i="9"/>
  <c r="BG16" i="9"/>
  <c r="BB16" i="9"/>
  <c r="BA16" i="9"/>
  <c r="AZ16" i="9"/>
  <c r="AX16" i="9"/>
  <c r="AW16" i="9"/>
  <c r="AT16" i="9"/>
  <c r="AQ16" i="9"/>
  <c r="AH16" i="9"/>
  <c r="AG16" i="9"/>
  <c r="AF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CA16" i="9" s="1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B15" i="9"/>
  <c r="BA15" i="9"/>
  <c r="AZ15" i="9"/>
  <c r="AX15" i="9"/>
  <c r="AW15" i="9"/>
  <c r="AT15" i="9"/>
  <c r="AQ15" i="9"/>
  <c r="AH15" i="9"/>
  <c r="AG15" i="9"/>
  <c r="AF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CA15" i="9" s="1"/>
  <c r="BW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B14" i="9"/>
  <c r="BA14" i="9"/>
  <c r="AZ14" i="9"/>
  <c r="AX14" i="9"/>
  <c r="AW14" i="9"/>
  <c r="AT14" i="9"/>
  <c r="AQ14" i="9"/>
  <c r="AH14" i="9"/>
  <c r="AG14" i="9"/>
  <c r="AF14" i="9"/>
  <c r="AD14" i="9"/>
  <c r="AC14" i="9"/>
  <c r="AB14" i="9"/>
  <c r="AB17" i="9" s="1"/>
  <c r="AB33" i="9" s="1"/>
  <c r="AB34" i="9" s="1"/>
  <c r="AA14" i="9"/>
  <c r="Z14" i="9"/>
  <c r="Y14" i="9"/>
  <c r="X14" i="9"/>
  <c r="X17" i="9" s="1"/>
  <c r="X33" i="9" s="1"/>
  <c r="X34" i="9" s="1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C17" i="9" s="1"/>
  <c r="C33" i="9" s="1"/>
  <c r="C34" i="9" s="1"/>
  <c r="B14" i="9"/>
  <c r="CA14" i="9" s="1"/>
  <c r="BW13" i="9"/>
  <c r="BV13" i="9"/>
  <c r="BV17" i="9" s="1"/>
  <c r="BV33" i="9" s="1"/>
  <c r="BV34" i="9" s="1"/>
  <c r="BO13" i="9"/>
  <c r="BN13" i="9"/>
  <c r="BN17" i="9" s="1"/>
  <c r="BN33" i="9" s="1"/>
  <c r="BN34" i="9" s="1"/>
  <c r="BM13" i="9"/>
  <c r="BM17" i="9" s="1"/>
  <c r="BM33" i="9" s="1"/>
  <c r="BM34" i="9" s="1"/>
  <c r="BL13" i="9"/>
  <c r="BL17" i="9" s="1"/>
  <c r="BL33" i="9" s="1"/>
  <c r="BL34" i="9" s="1"/>
  <c r="BK13" i="9"/>
  <c r="BK17" i="9" s="1"/>
  <c r="BK33" i="9" s="1"/>
  <c r="BK34" i="9" s="1"/>
  <c r="BJ13" i="9"/>
  <c r="BI13" i="9"/>
  <c r="BH13" i="9"/>
  <c r="BG13" i="9"/>
  <c r="BB13" i="9"/>
  <c r="BA13" i="9"/>
  <c r="AX13" i="9"/>
  <c r="AW13" i="9"/>
  <c r="AW17" i="9" s="1"/>
  <c r="AW33" i="9" s="1"/>
  <c r="AW34" i="9" s="1"/>
  <c r="AT13" i="9"/>
  <c r="AT17" i="9" s="1"/>
  <c r="AT33" i="9" s="1"/>
  <c r="AT34" i="9" s="1"/>
  <c r="AQ13" i="9"/>
  <c r="AQ17" i="9" s="1"/>
  <c r="AQ33" i="9" s="1"/>
  <c r="AQ34" i="9" s="1"/>
  <c r="AH13" i="9"/>
  <c r="AG13" i="9"/>
  <c r="AF13" i="9"/>
  <c r="AD13" i="9"/>
  <c r="AD17" i="9" s="1"/>
  <c r="AD33" i="9" s="1"/>
  <c r="AD34" i="9" s="1"/>
  <c r="AC13" i="9"/>
  <c r="AC17" i="9" s="1"/>
  <c r="AC33" i="9" s="1"/>
  <c r="AC34" i="9" s="1"/>
  <c r="V13" i="9"/>
  <c r="T13" i="9"/>
  <c r="S13" i="9"/>
  <c r="S17" i="9" s="1"/>
  <c r="S33" i="9" s="1"/>
  <c r="S34" i="9" s="1"/>
  <c r="R13" i="9"/>
  <c r="Q13" i="9"/>
  <c r="P13" i="9"/>
  <c r="O13" i="9"/>
  <c r="O17" i="9" s="1"/>
  <c r="O33" i="9" s="1"/>
  <c r="O34" i="9" s="1"/>
  <c r="N13" i="9"/>
  <c r="N17" i="9" s="1"/>
  <c r="N33" i="9" s="1"/>
  <c r="N34" i="9" s="1"/>
  <c r="M13" i="9"/>
  <c r="M17" i="9" s="1"/>
  <c r="M33" i="9" s="1"/>
  <c r="M34" i="9" s="1"/>
  <c r="L13" i="9"/>
  <c r="L17" i="9" s="1"/>
  <c r="L33" i="9" s="1"/>
  <c r="L34" i="9" s="1"/>
  <c r="I13" i="9"/>
  <c r="I17" i="9" s="1"/>
  <c r="I33" i="9" s="1"/>
  <c r="I34" i="9" s="1"/>
  <c r="H13" i="9"/>
  <c r="G13" i="9"/>
  <c r="G17" i="9" s="1"/>
  <c r="G33" i="9" s="1"/>
  <c r="G34" i="9" s="1"/>
  <c r="F13" i="9"/>
  <c r="F17" i="9" s="1"/>
  <c r="F33" i="9" s="1"/>
  <c r="F34" i="9" s="1"/>
  <c r="E13" i="9"/>
  <c r="E17" i="9" s="1"/>
  <c r="E33" i="9" s="1"/>
  <c r="E34" i="9" s="1"/>
  <c r="D13" i="9"/>
  <c r="B13" i="9"/>
  <c r="CA13" i="9" s="1"/>
  <c r="BW12" i="9"/>
  <c r="BW17" i="9" s="1"/>
  <c r="BW33" i="9" s="1"/>
  <c r="BW34" i="9" s="1"/>
  <c r="BU12" i="9"/>
  <c r="BU17" i="9" s="1"/>
  <c r="BU33" i="9" s="1"/>
  <c r="BU34" i="9" s="1"/>
  <c r="BT12" i="9"/>
  <c r="BT17" i="9" s="1"/>
  <c r="BT33" i="9" s="1"/>
  <c r="BT34" i="9" s="1"/>
  <c r="BS12" i="9"/>
  <c r="BS17" i="9" s="1"/>
  <c r="BS33" i="9" s="1"/>
  <c r="BS34" i="9" s="1"/>
  <c r="BR12" i="9"/>
  <c r="BR17" i="9" s="1"/>
  <c r="BR33" i="9" s="1"/>
  <c r="BR34" i="9" s="1"/>
  <c r="BQ12" i="9"/>
  <c r="BQ17" i="9" s="1"/>
  <c r="BQ33" i="9" s="1"/>
  <c r="BQ34" i="9" s="1"/>
  <c r="BP12" i="9"/>
  <c r="BP17" i="9" s="1"/>
  <c r="BP33" i="9" s="1"/>
  <c r="BP34" i="9" s="1"/>
  <c r="BO12" i="9"/>
  <c r="BO17" i="9" s="1"/>
  <c r="BO33" i="9" s="1"/>
  <c r="BO34" i="9" s="1"/>
  <c r="BJ12" i="9"/>
  <c r="BJ17" i="9" s="1"/>
  <c r="BJ33" i="9" s="1"/>
  <c r="BJ34" i="9" s="1"/>
  <c r="BI12" i="9"/>
  <c r="BI17" i="9" s="1"/>
  <c r="BI33" i="9" s="1"/>
  <c r="BI34" i="9" s="1"/>
  <c r="BH12" i="9"/>
  <c r="BH17" i="9" s="1"/>
  <c r="BH33" i="9" s="1"/>
  <c r="BH34" i="9" s="1"/>
  <c r="BG12" i="9"/>
  <c r="BG17" i="9" s="1"/>
  <c r="BG33" i="9" s="1"/>
  <c r="BG34" i="9" s="1"/>
  <c r="BB12" i="9"/>
  <c r="BB17" i="9" s="1"/>
  <c r="BB33" i="9" s="1"/>
  <c r="BB34" i="9" s="1"/>
  <c r="BA12" i="9"/>
  <c r="BA17" i="9" s="1"/>
  <c r="BA33" i="9" s="1"/>
  <c r="BA34" i="9" s="1"/>
  <c r="AZ12" i="9"/>
  <c r="AZ17" i="9" s="1"/>
  <c r="AZ33" i="9" s="1"/>
  <c r="AZ34" i="9" s="1"/>
  <c r="AX12" i="9"/>
  <c r="AX17" i="9" s="1"/>
  <c r="AX33" i="9" s="1"/>
  <c r="AX34" i="9" s="1"/>
  <c r="AH12" i="9"/>
  <c r="AH17" i="9" s="1"/>
  <c r="AH33" i="9" s="1"/>
  <c r="AH34" i="9" s="1"/>
  <c r="AG12" i="9"/>
  <c r="AG17" i="9" s="1"/>
  <c r="AG33" i="9" s="1"/>
  <c r="AG34" i="9" s="1"/>
  <c r="AF12" i="9"/>
  <c r="AF17" i="9" s="1"/>
  <c r="AF33" i="9" s="1"/>
  <c r="AF34" i="9" s="1"/>
  <c r="AA12" i="9"/>
  <c r="AA17" i="9" s="1"/>
  <c r="AA33" i="9" s="1"/>
  <c r="AA34" i="9" s="1"/>
  <c r="Z12" i="9"/>
  <c r="Z17" i="9" s="1"/>
  <c r="Z33" i="9" s="1"/>
  <c r="Z34" i="9" s="1"/>
  <c r="Y12" i="9"/>
  <c r="Y17" i="9" s="1"/>
  <c r="Y33" i="9" s="1"/>
  <c r="Y34" i="9" s="1"/>
  <c r="W12" i="9"/>
  <c r="W17" i="9" s="1"/>
  <c r="W33" i="9" s="1"/>
  <c r="W34" i="9" s="1"/>
  <c r="V12" i="9"/>
  <c r="V17" i="9" s="1"/>
  <c r="V33" i="9" s="1"/>
  <c r="V34" i="9" s="1"/>
  <c r="U12" i="9"/>
  <c r="U17" i="9" s="1"/>
  <c r="U33" i="9" s="1"/>
  <c r="U34" i="9" s="1"/>
  <c r="T12" i="9"/>
  <c r="T17" i="9" s="1"/>
  <c r="T33" i="9" s="1"/>
  <c r="T34" i="9" s="1"/>
  <c r="R12" i="9"/>
  <c r="R17" i="9" s="1"/>
  <c r="R33" i="9" s="1"/>
  <c r="R34" i="9" s="1"/>
  <c r="Q12" i="9"/>
  <c r="Q17" i="9" s="1"/>
  <c r="Q33" i="9" s="1"/>
  <c r="Q34" i="9" s="1"/>
  <c r="P12" i="9"/>
  <c r="P17" i="9" s="1"/>
  <c r="P33" i="9" s="1"/>
  <c r="P34" i="9" s="1"/>
  <c r="K12" i="9"/>
  <c r="K17" i="9" s="1"/>
  <c r="K33" i="9" s="1"/>
  <c r="K34" i="9" s="1"/>
  <c r="J12" i="9"/>
  <c r="J17" i="9" s="1"/>
  <c r="J33" i="9" s="1"/>
  <c r="J34" i="9" s="1"/>
  <c r="H12" i="9"/>
  <c r="H17" i="9" s="1"/>
  <c r="H33" i="9" s="1"/>
  <c r="H34" i="9" s="1"/>
  <c r="D12" i="9"/>
  <c r="D17" i="9" s="1"/>
  <c r="D33" i="9" s="1"/>
  <c r="D34" i="9" s="1"/>
  <c r="B12" i="9"/>
  <c r="L13" i="3"/>
  <c r="BM261" i="3"/>
  <c r="BM256" i="3"/>
  <c r="BM244" i="3"/>
  <c r="BM245" i="3"/>
  <c r="BM232" i="3"/>
  <c r="BM233" i="3"/>
  <c r="BM227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222" i="3"/>
  <c r="BM217" i="3"/>
  <c r="BO132" i="3"/>
  <c r="BO203" i="3"/>
  <c r="BO204" i="3"/>
  <c r="BO202" i="3"/>
  <c r="H206" i="3"/>
  <c r="H210" i="3" s="1"/>
  <c r="I206" i="3"/>
  <c r="I210" i="3" s="1"/>
  <c r="J206" i="3"/>
  <c r="J210" i="3" s="1"/>
  <c r="K206" i="3"/>
  <c r="K210" i="3" s="1"/>
  <c r="L206" i="3"/>
  <c r="L210" i="3" s="1"/>
  <c r="M206" i="3"/>
  <c r="N206" i="3"/>
  <c r="N210" i="3" s="1"/>
  <c r="O206" i="3"/>
  <c r="O210" i="3" s="1"/>
  <c r="P206" i="3"/>
  <c r="P210" i="3" s="1"/>
  <c r="Q206" i="3"/>
  <c r="Q210" i="3" s="1"/>
  <c r="R206" i="3"/>
  <c r="R210" i="3" s="1"/>
  <c r="S206" i="3"/>
  <c r="S210" i="3" s="1"/>
  <c r="T206" i="3"/>
  <c r="T210" i="3" s="1"/>
  <c r="U206" i="3"/>
  <c r="U210" i="3" s="1"/>
  <c r="V206" i="3"/>
  <c r="V210" i="3" s="1"/>
  <c r="W206" i="3"/>
  <c r="W210" i="3" s="1"/>
  <c r="X206" i="3"/>
  <c r="X210" i="3" s="1"/>
  <c r="Y206" i="3"/>
  <c r="Y210" i="3" s="1"/>
  <c r="Z206" i="3"/>
  <c r="Z210" i="3" s="1"/>
  <c r="AA206" i="3"/>
  <c r="AA210" i="3" s="1"/>
  <c r="AB206" i="3"/>
  <c r="AB210" i="3" s="1"/>
  <c r="AF206" i="3"/>
  <c r="AF210" i="3" s="1"/>
  <c r="AP206" i="3"/>
  <c r="AP210" i="3" s="1"/>
  <c r="AQ206" i="3"/>
  <c r="AQ210" i="3" s="1"/>
  <c r="AR206" i="3"/>
  <c r="AR210" i="3" s="1"/>
  <c r="AS206" i="3"/>
  <c r="AS210" i="3" s="1"/>
  <c r="AT206" i="3"/>
  <c r="AT210" i="3" s="1"/>
  <c r="AU206" i="3"/>
  <c r="AU210" i="3" s="1"/>
  <c r="AV206" i="3"/>
  <c r="AV210" i="3" s="1"/>
  <c r="AY206" i="3"/>
  <c r="AY210" i="3" s="1"/>
  <c r="AZ206" i="3"/>
  <c r="AZ210" i="3" s="1"/>
  <c r="BA206" i="3"/>
  <c r="BA210" i="3" s="1"/>
  <c r="BB206" i="3"/>
  <c r="BB210" i="3" s="1"/>
  <c r="BC206" i="3"/>
  <c r="BC210" i="3" s="1"/>
  <c r="BD206" i="3"/>
  <c r="BD210" i="3" s="1"/>
  <c r="BE206" i="3"/>
  <c r="BE210" i="3" s="1"/>
  <c r="BF206" i="3"/>
  <c r="BF210" i="3" s="1"/>
  <c r="BG206" i="3"/>
  <c r="BG210" i="3" s="1"/>
  <c r="BH206" i="3"/>
  <c r="BH210" i="3" s="1"/>
  <c r="BI206" i="3"/>
  <c r="BI210" i="3" s="1"/>
  <c r="BJ206" i="3"/>
  <c r="BJ210" i="3" s="1"/>
  <c r="BK206" i="3"/>
  <c r="BK210" i="3" s="1"/>
  <c r="BL206" i="3"/>
  <c r="BL210" i="3" s="1"/>
  <c r="H207" i="3"/>
  <c r="H211" i="3" s="1"/>
  <c r="H214" i="3" s="1"/>
  <c r="I207" i="3"/>
  <c r="I211" i="3" s="1"/>
  <c r="I214" i="3" s="1"/>
  <c r="J207" i="3"/>
  <c r="J211" i="3" s="1"/>
  <c r="J214" i="3" s="1"/>
  <c r="K207" i="3"/>
  <c r="K211" i="3" s="1"/>
  <c r="K214" i="3" s="1"/>
  <c r="L207" i="3"/>
  <c r="L211" i="3" s="1"/>
  <c r="L214" i="3" s="1"/>
  <c r="M207" i="3"/>
  <c r="N207" i="3"/>
  <c r="N211" i="3" s="1"/>
  <c r="N214" i="3" s="1"/>
  <c r="O207" i="3"/>
  <c r="O211" i="3" s="1"/>
  <c r="O214" i="3" s="1"/>
  <c r="P207" i="3"/>
  <c r="P211" i="3" s="1"/>
  <c r="P214" i="3" s="1"/>
  <c r="Q207" i="3"/>
  <c r="Q211" i="3" s="1"/>
  <c r="Q214" i="3" s="1"/>
  <c r="R207" i="3"/>
  <c r="R211" i="3" s="1"/>
  <c r="R214" i="3" s="1"/>
  <c r="S207" i="3"/>
  <c r="S211" i="3" s="1"/>
  <c r="S214" i="3" s="1"/>
  <c r="T207" i="3"/>
  <c r="T211" i="3" s="1"/>
  <c r="T214" i="3" s="1"/>
  <c r="U207" i="3"/>
  <c r="U211" i="3" s="1"/>
  <c r="U214" i="3" s="1"/>
  <c r="V207" i="3"/>
  <c r="V211" i="3" s="1"/>
  <c r="V214" i="3" s="1"/>
  <c r="W207" i="3"/>
  <c r="W211" i="3" s="1"/>
  <c r="W214" i="3" s="1"/>
  <c r="X207" i="3"/>
  <c r="X211" i="3" s="1"/>
  <c r="X214" i="3" s="1"/>
  <c r="Y207" i="3"/>
  <c r="Y211" i="3" s="1"/>
  <c r="Y214" i="3" s="1"/>
  <c r="Z207" i="3"/>
  <c r="Z211" i="3" s="1"/>
  <c r="Z214" i="3" s="1"/>
  <c r="AA207" i="3"/>
  <c r="AA211" i="3" s="1"/>
  <c r="AA214" i="3" s="1"/>
  <c r="AB207" i="3"/>
  <c r="AB211" i="3" s="1"/>
  <c r="AB214" i="3" s="1"/>
  <c r="AF207" i="3"/>
  <c r="AF211" i="3" s="1"/>
  <c r="AF214" i="3" s="1"/>
  <c r="AP207" i="3"/>
  <c r="AP211" i="3" s="1"/>
  <c r="AP214" i="3" s="1"/>
  <c r="AQ207" i="3"/>
  <c r="AQ211" i="3" s="1"/>
  <c r="AQ214" i="3" s="1"/>
  <c r="AR207" i="3"/>
  <c r="AR211" i="3" s="1"/>
  <c r="AR214" i="3" s="1"/>
  <c r="AS207" i="3"/>
  <c r="AS211" i="3" s="1"/>
  <c r="AS214" i="3" s="1"/>
  <c r="AT207" i="3"/>
  <c r="AT211" i="3" s="1"/>
  <c r="AT214" i="3" s="1"/>
  <c r="AU207" i="3"/>
  <c r="AU211" i="3" s="1"/>
  <c r="AU214" i="3" s="1"/>
  <c r="AV207" i="3"/>
  <c r="AV211" i="3" s="1"/>
  <c r="AV214" i="3" s="1"/>
  <c r="AY207" i="3"/>
  <c r="AY211" i="3" s="1"/>
  <c r="AY214" i="3" s="1"/>
  <c r="AY83" i="3" s="1"/>
  <c r="AZ207" i="3"/>
  <c r="AZ211" i="3" s="1"/>
  <c r="AZ214" i="3" s="1"/>
  <c r="AZ83" i="3" s="1"/>
  <c r="BA207" i="3"/>
  <c r="BA211" i="3" s="1"/>
  <c r="BA214" i="3" s="1"/>
  <c r="BA83" i="3" s="1"/>
  <c r="BB207" i="3"/>
  <c r="BB211" i="3" s="1"/>
  <c r="BB214" i="3" s="1"/>
  <c r="BB83" i="3" s="1"/>
  <c r="BC207" i="3"/>
  <c r="BC211" i="3" s="1"/>
  <c r="BC214" i="3" s="1"/>
  <c r="BC83" i="3" s="1"/>
  <c r="BD207" i="3"/>
  <c r="BD211" i="3" s="1"/>
  <c r="BD214" i="3" s="1"/>
  <c r="BD83" i="3" s="1"/>
  <c r="BE207" i="3"/>
  <c r="BE211" i="3" s="1"/>
  <c r="BE214" i="3" s="1"/>
  <c r="BE83" i="3" s="1"/>
  <c r="BF207" i="3"/>
  <c r="BF211" i="3" s="1"/>
  <c r="BF214" i="3" s="1"/>
  <c r="BF83" i="3" s="1"/>
  <c r="BG207" i="3"/>
  <c r="BG211" i="3" s="1"/>
  <c r="BG214" i="3" s="1"/>
  <c r="BG83" i="3" s="1"/>
  <c r="BH207" i="3"/>
  <c r="BH211" i="3" s="1"/>
  <c r="BH214" i="3" s="1"/>
  <c r="BH83" i="3" s="1"/>
  <c r="BI207" i="3"/>
  <c r="BI211" i="3" s="1"/>
  <c r="BI214" i="3" s="1"/>
  <c r="BI83" i="3" s="1"/>
  <c r="BJ207" i="3"/>
  <c r="BJ211" i="3" s="1"/>
  <c r="BJ214" i="3" s="1"/>
  <c r="BJ83" i="3" s="1"/>
  <c r="BK207" i="3"/>
  <c r="BK211" i="3" s="1"/>
  <c r="BK214" i="3" s="1"/>
  <c r="BK83" i="3" s="1"/>
  <c r="BL207" i="3"/>
  <c r="BL211" i="3" s="1"/>
  <c r="BL214" i="3" s="1"/>
  <c r="BL83" i="3" s="1"/>
  <c r="H208" i="3"/>
  <c r="H212" i="3" s="1"/>
  <c r="H215" i="3" s="1"/>
  <c r="I208" i="3"/>
  <c r="I212" i="3" s="1"/>
  <c r="I215" i="3" s="1"/>
  <c r="J208" i="3"/>
  <c r="J212" i="3" s="1"/>
  <c r="J215" i="3" s="1"/>
  <c r="K208" i="3"/>
  <c r="K212" i="3" s="1"/>
  <c r="K215" i="3" s="1"/>
  <c r="L208" i="3"/>
  <c r="L212" i="3" s="1"/>
  <c r="L215" i="3" s="1"/>
  <c r="M208" i="3"/>
  <c r="N208" i="3"/>
  <c r="N212" i="3" s="1"/>
  <c r="N215" i="3" s="1"/>
  <c r="O208" i="3"/>
  <c r="O212" i="3" s="1"/>
  <c r="O215" i="3" s="1"/>
  <c r="P208" i="3"/>
  <c r="P212" i="3" s="1"/>
  <c r="P215" i="3" s="1"/>
  <c r="Q208" i="3"/>
  <c r="Q212" i="3" s="1"/>
  <c r="Q215" i="3" s="1"/>
  <c r="R208" i="3"/>
  <c r="R212" i="3" s="1"/>
  <c r="R215" i="3" s="1"/>
  <c r="S208" i="3"/>
  <c r="S212" i="3" s="1"/>
  <c r="S215" i="3" s="1"/>
  <c r="T208" i="3"/>
  <c r="T212" i="3" s="1"/>
  <c r="T215" i="3" s="1"/>
  <c r="U208" i="3"/>
  <c r="U212" i="3" s="1"/>
  <c r="U215" i="3" s="1"/>
  <c r="V208" i="3"/>
  <c r="V212" i="3" s="1"/>
  <c r="V215" i="3" s="1"/>
  <c r="W208" i="3"/>
  <c r="W212" i="3" s="1"/>
  <c r="W215" i="3" s="1"/>
  <c r="X208" i="3"/>
  <c r="X212" i="3" s="1"/>
  <c r="X215" i="3" s="1"/>
  <c r="Y208" i="3"/>
  <c r="Y212" i="3" s="1"/>
  <c r="Y215" i="3" s="1"/>
  <c r="Z208" i="3"/>
  <c r="Z212" i="3" s="1"/>
  <c r="Z215" i="3" s="1"/>
  <c r="AA208" i="3"/>
  <c r="AA212" i="3" s="1"/>
  <c r="AA215" i="3" s="1"/>
  <c r="AB208" i="3"/>
  <c r="AB212" i="3" s="1"/>
  <c r="AB215" i="3" s="1"/>
  <c r="AF208" i="3"/>
  <c r="AF212" i="3" s="1"/>
  <c r="AF215" i="3" s="1"/>
  <c r="AP208" i="3"/>
  <c r="AP212" i="3" s="1"/>
  <c r="AP215" i="3" s="1"/>
  <c r="AQ208" i="3"/>
  <c r="AQ212" i="3" s="1"/>
  <c r="AQ215" i="3" s="1"/>
  <c r="AR208" i="3"/>
  <c r="AR212" i="3" s="1"/>
  <c r="AR215" i="3" s="1"/>
  <c r="AS208" i="3"/>
  <c r="AS212" i="3" s="1"/>
  <c r="AS215" i="3" s="1"/>
  <c r="AT208" i="3"/>
  <c r="AT212" i="3" s="1"/>
  <c r="AT215" i="3" s="1"/>
  <c r="AU208" i="3"/>
  <c r="AU212" i="3" s="1"/>
  <c r="AU215" i="3" s="1"/>
  <c r="AV208" i="3"/>
  <c r="AV212" i="3" s="1"/>
  <c r="AV215" i="3" s="1"/>
  <c r="AY208" i="3"/>
  <c r="AY212" i="3" s="1"/>
  <c r="AY215" i="3" s="1"/>
  <c r="AY84" i="3" s="1"/>
  <c r="AZ208" i="3"/>
  <c r="AZ212" i="3" s="1"/>
  <c r="AZ215" i="3" s="1"/>
  <c r="AZ84" i="3" s="1"/>
  <c r="BA208" i="3"/>
  <c r="BA212" i="3" s="1"/>
  <c r="BA215" i="3" s="1"/>
  <c r="BA84" i="3" s="1"/>
  <c r="BB208" i="3"/>
  <c r="BB212" i="3" s="1"/>
  <c r="BB215" i="3" s="1"/>
  <c r="BB84" i="3" s="1"/>
  <c r="BC208" i="3"/>
  <c r="BC212" i="3" s="1"/>
  <c r="BC215" i="3" s="1"/>
  <c r="BC84" i="3" s="1"/>
  <c r="BD208" i="3"/>
  <c r="BD212" i="3" s="1"/>
  <c r="BD215" i="3" s="1"/>
  <c r="BD84" i="3" s="1"/>
  <c r="BE208" i="3"/>
  <c r="BE212" i="3" s="1"/>
  <c r="BE215" i="3" s="1"/>
  <c r="BE84" i="3" s="1"/>
  <c r="BF208" i="3"/>
  <c r="BF212" i="3" s="1"/>
  <c r="BF215" i="3" s="1"/>
  <c r="BF84" i="3" s="1"/>
  <c r="BG208" i="3"/>
  <c r="BG212" i="3" s="1"/>
  <c r="BG215" i="3" s="1"/>
  <c r="BG84" i="3" s="1"/>
  <c r="BH208" i="3"/>
  <c r="BH212" i="3" s="1"/>
  <c r="BH215" i="3" s="1"/>
  <c r="BH84" i="3" s="1"/>
  <c r="BI208" i="3"/>
  <c r="BI212" i="3" s="1"/>
  <c r="BI215" i="3" s="1"/>
  <c r="BI84" i="3" s="1"/>
  <c r="BJ208" i="3"/>
  <c r="BJ212" i="3" s="1"/>
  <c r="BJ215" i="3" s="1"/>
  <c r="BJ84" i="3" s="1"/>
  <c r="BK208" i="3"/>
  <c r="BK212" i="3" s="1"/>
  <c r="BK215" i="3" s="1"/>
  <c r="BK84" i="3" s="1"/>
  <c r="BL208" i="3"/>
  <c r="BL212" i="3" s="1"/>
  <c r="BL215" i="3" s="1"/>
  <c r="BL84" i="3" s="1"/>
  <c r="G208" i="3"/>
  <c r="G207" i="3"/>
  <c r="G206" i="3"/>
  <c r="BO187" i="3"/>
  <c r="BO188" i="3"/>
  <c r="BO186" i="3"/>
  <c r="H190" i="3"/>
  <c r="H194" i="3" s="1"/>
  <c r="H198" i="3" s="1"/>
  <c r="I190" i="3"/>
  <c r="I194" i="3" s="1"/>
  <c r="I198" i="3" s="1"/>
  <c r="J190" i="3"/>
  <c r="J194" i="3" s="1"/>
  <c r="J198" i="3" s="1"/>
  <c r="K190" i="3"/>
  <c r="K194" i="3" s="1"/>
  <c r="K198" i="3" s="1"/>
  <c r="L190" i="3"/>
  <c r="L194" i="3" s="1"/>
  <c r="L198" i="3" s="1"/>
  <c r="M190" i="3"/>
  <c r="N190" i="3"/>
  <c r="N194" i="3" s="1"/>
  <c r="N198" i="3" s="1"/>
  <c r="O190" i="3"/>
  <c r="O194" i="3" s="1"/>
  <c r="O198" i="3" s="1"/>
  <c r="P190" i="3"/>
  <c r="P194" i="3" s="1"/>
  <c r="P198" i="3" s="1"/>
  <c r="Q190" i="3"/>
  <c r="Q194" i="3" s="1"/>
  <c r="Q198" i="3" s="1"/>
  <c r="R190" i="3"/>
  <c r="R194" i="3" s="1"/>
  <c r="R198" i="3" s="1"/>
  <c r="S190" i="3"/>
  <c r="S194" i="3" s="1"/>
  <c r="S198" i="3" s="1"/>
  <c r="T190" i="3"/>
  <c r="T194" i="3" s="1"/>
  <c r="T198" i="3" s="1"/>
  <c r="U190" i="3"/>
  <c r="U194" i="3" s="1"/>
  <c r="U198" i="3" s="1"/>
  <c r="V190" i="3"/>
  <c r="V194" i="3" s="1"/>
  <c r="V198" i="3" s="1"/>
  <c r="W190" i="3"/>
  <c r="W194" i="3" s="1"/>
  <c r="W198" i="3" s="1"/>
  <c r="X190" i="3"/>
  <c r="X194" i="3" s="1"/>
  <c r="X198" i="3" s="1"/>
  <c r="Y190" i="3"/>
  <c r="Y194" i="3" s="1"/>
  <c r="Y198" i="3" s="1"/>
  <c r="Z190" i="3"/>
  <c r="Z194" i="3" s="1"/>
  <c r="Z198" i="3" s="1"/>
  <c r="AA190" i="3"/>
  <c r="AA194" i="3" s="1"/>
  <c r="AA198" i="3" s="1"/>
  <c r="AB190" i="3"/>
  <c r="AB194" i="3" s="1"/>
  <c r="AB198" i="3" s="1"/>
  <c r="AF190" i="3"/>
  <c r="AF194" i="3" s="1"/>
  <c r="AF198" i="3" s="1"/>
  <c r="AP190" i="3"/>
  <c r="AP194" i="3" s="1"/>
  <c r="AP198" i="3" s="1"/>
  <c r="AQ190" i="3"/>
  <c r="AQ194" i="3" s="1"/>
  <c r="AQ198" i="3" s="1"/>
  <c r="AR190" i="3"/>
  <c r="AR194" i="3" s="1"/>
  <c r="AR198" i="3" s="1"/>
  <c r="AS190" i="3"/>
  <c r="AS194" i="3" s="1"/>
  <c r="AS198" i="3" s="1"/>
  <c r="AT190" i="3"/>
  <c r="AT194" i="3" s="1"/>
  <c r="AT198" i="3" s="1"/>
  <c r="AU190" i="3"/>
  <c r="AU194" i="3" s="1"/>
  <c r="AU198" i="3" s="1"/>
  <c r="AV190" i="3"/>
  <c r="AV194" i="3" s="1"/>
  <c r="AV198" i="3" s="1"/>
  <c r="AY190" i="3"/>
  <c r="AY194" i="3" s="1"/>
  <c r="AY198" i="3" s="1"/>
  <c r="AY63" i="3" s="1"/>
  <c r="AZ190" i="3"/>
  <c r="AZ194" i="3" s="1"/>
  <c r="AZ198" i="3" s="1"/>
  <c r="AZ63" i="3" s="1"/>
  <c r="BA190" i="3"/>
  <c r="BA194" i="3" s="1"/>
  <c r="BA198" i="3" s="1"/>
  <c r="BA63" i="3" s="1"/>
  <c r="BB190" i="3"/>
  <c r="BB194" i="3" s="1"/>
  <c r="BB198" i="3" s="1"/>
  <c r="BB63" i="3" s="1"/>
  <c r="BC190" i="3"/>
  <c r="BC194" i="3" s="1"/>
  <c r="BC198" i="3" s="1"/>
  <c r="BC63" i="3" s="1"/>
  <c r="BD190" i="3"/>
  <c r="BD194" i="3" s="1"/>
  <c r="BD198" i="3" s="1"/>
  <c r="BD63" i="3" s="1"/>
  <c r="BE190" i="3"/>
  <c r="BE194" i="3" s="1"/>
  <c r="BE198" i="3" s="1"/>
  <c r="BE63" i="3" s="1"/>
  <c r="BF190" i="3"/>
  <c r="BF194" i="3" s="1"/>
  <c r="BF198" i="3" s="1"/>
  <c r="BF63" i="3" s="1"/>
  <c r="BG190" i="3"/>
  <c r="BG194" i="3" s="1"/>
  <c r="BG198" i="3" s="1"/>
  <c r="BG63" i="3" s="1"/>
  <c r="BH190" i="3"/>
  <c r="BH194" i="3" s="1"/>
  <c r="BH198" i="3" s="1"/>
  <c r="BH63" i="3" s="1"/>
  <c r="BI190" i="3"/>
  <c r="BI194" i="3" s="1"/>
  <c r="BI198" i="3" s="1"/>
  <c r="BI63" i="3" s="1"/>
  <c r="BJ190" i="3"/>
  <c r="BJ194" i="3" s="1"/>
  <c r="BJ198" i="3" s="1"/>
  <c r="BJ63" i="3" s="1"/>
  <c r="BK190" i="3"/>
  <c r="BK194" i="3" s="1"/>
  <c r="BK198" i="3" s="1"/>
  <c r="BK63" i="3" s="1"/>
  <c r="BL190" i="3"/>
  <c r="BL194" i="3" s="1"/>
  <c r="BL198" i="3" s="1"/>
  <c r="BL63" i="3" s="1"/>
  <c r="H191" i="3"/>
  <c r="H195" i="3" s="1"/>
  <c r="H199" i="3" s="1"/>
  <c r="I191" i="3"/>
  <c r="I195" i="3" s="1"/>
  <c r="I199" i="3" s="1"/>
  <c r="J191" i="3"/>
  <c r="J195" i="3" s="1"/>
  <c r="J199" i="3" s="1"/>
  <c r="K191" i="3"/>
  <c r="K195" i="3" s="1"/>
  <c r="K199" i="3" s="1"/>
  <c r="L191" i="3"/>
  <c r="L195" i="3" s="1"/>
  <c r="L199" i="3" s="1"/>
  <c r="M191" i="3"/>
  <c r="N191" i="3"/>
  <c r="N195" i="3" s="1"/>
  <c r="N199" i="3" s="1"/>
  <c r="O191" i="3"/>
  <c r="O195" i="3" s="1"/>
  <c r="O199" i="3" s="1"/>
  <c r="P191" i="3"/>
  <c r="P195" i="3" s="1"/>
  <c r="P199" i="3" s="1"/>
  <c r="Q191" i="3"/>
  <c r="Q195" i="3" s="1"/>
  <c r="Q199" i="3" s="1"/>
  <c r="R191" i="3"/>
  <c r="R195" i="3" s="1"/>
  <c r="R199" i="3" s="1"/>
  <c r="S191" i="3"/>
  <c r="S195" i="3" s="1"/>
  <c r="S199" i="3" s="1"/>
  <c r="T191" i="3"/>
  <c r="T195" i="3" s="1"/>
  <c r="T199" i="3" s="1"/>
  <c r="U191" i="3"/>
  <c r="U195" i="3" s="1"/>
  <c r="U199" i="3" s="1"/>
  <c r="V191" i="3"/>
  <c r="V195" i="3" s="1"/>
  <c r="V199" i="3" s="1"/>
  <c r="W191" i="3"/>
  <c r="W195" i="3" s="1"/>
  <c r="W199" i="3" s="1"/>
  <c r="X191" i="3"/>
  <c r="X195" i="3" s="1"/>
  <c r="X199" i="3" s="1"/>
  <c r="Y191" i="3"/>
  <c r="Y195" i="3" s="1"/>
  <c r="Y199" i="3" s="1"/>
  <c r="Z191" i="3"/>
  <c r="Z195" i="3" s="1"/>
  <c r="Z199" i="3" s="1"/>
  <c r="AA191" i="3"/>
  <c r="AA195" i="3" s="1"/>
  <c r="AA199" i="3" s="1"/>
  <c r="AB191" i="3"/>
  <c r="AB195" i="3" s="1"/>
  <c r="AB199" i="3" s="1"/>
  <c r="AF191" i="3"/>
  <c r="AF195" i="3" s="1"/>
  <c r="AF199" i="3" s="1"/>
  <c r="AP191" i="3"/>
  <c r="AP195" i="3" s="1"/>
  <c r="AP199" i="3" s="1"/>
  <c r="AQ191" i="3"/>
  <c r="AQ195" i="3" s="1"/>
  <c r="AQ199" i="3" s="1"/>
  <c r="AR191" i="3"/>
  <c r="AR195" i="3" s="1"/>
  <c r="AR199" i="3" s="1"/>
  <c r="AS191" i="3"/>
  <c r="AS195" i="3" s="1"/>
  <c r="AS199" i="3" s="1"/>
  <c r="AT191" i="3"/>
  <c r="AT195" i="3" s="1"/>
  <c r="AT199" i="3" s="1"/>
  <c r="AU191" i="3"/>
  <c r="AU195" i="3" s="1"/>
  <c r="AU199" i="3" s="1"/>
  <c r="AV191" i="3"/>
  <c r="AV195" i="3" s="1"/>
  <c r="AV199" i="3" s="1"/>
  <c r="AY191" i="3"/>
  <c r="AY195" i="3" s="1"/>
  <c r="AY199" i="3" s="1"/>
  <c r="AY64" i="3" s="1"/>
  <c r="AZ191" i="3"/>
  <c r="AZ195" i="3" s="1"/>
  <c r="AZ199" i="3" s="1"/>
  <c r="AZ64" i="3" s="1"/>
  <c r="BA191" i="3"/>
  <c r="BA195" i="3" s="1"/>
  <c r="BA199" i="3" s="1"/>
  <c r="BA64" i="3" s="1"/>
  <c r="BB191" i="3"/>
  <c r="BB195" i="3" s="1"/>
  <c r="BB199" i="3" s="1"/>
  <c r="BB64" i="3" s="1"/>
  <c r="BC191" i="3"/>
  <c r="BC195" i="3" s="1"/>
  <c r="BC199" i="3" s="1"/>
  <c r="BC64" i="3" s="1"/>
  <c r="BD191" i="3"/>
  <c r="BD195" i="3" s="1"/>
  <c r="BD199" i="3" s="1"/>
  <c r="BD64" i="3" s="1"/>
  <c r="BE191" i="3"/>
  <c r="BE195" i="3" s="1"/>
  <c r="BE199" i="3" s="1"/>
  <c r="BE64" i="3" s="1"/>
  <c r="BF191" i="3"/>
  <c r="BF195" i="3" s="1"/>
  <c r="BF199" i="3" s="1"/>
  <c r="BF64" i="3" s="1"/>
  <c r="BG191" i="3"/>
  <c r="BG195" i="3" s="1"/>
  <c r="BG199" i="3" s="1"/>
  <c r="BG64" i="3" s="1"/>
  <c r="BH191" i="3"/>
  <c r="BH195" i="3" s="1"/>
  <c r="BH199" i="3" s="1"/>
  <c r="BH64" i="3" s="1"/>
  <c r="BI191" i="3"/>
  <c r="BI195" i="3" s="1"/>
  <c r="BI199" i="3" s="1"/>
  <c r="BI64" i="3" s="1"/>
  <c r="BJ191" i="3"/>
  <c r="BJ195" i="3" s="1"/>
  <c r="BJ199" i="3" s="1"/>
  <c r="BJ64" i="3" s="1"/>
  <c r="BK191" i="3"/>
  <c r="BK195" i="3" s="1"/>
  <c r="BK199" i="3" s="1"/>
  <c r="BK64" i="3" s="1"/>
  <c r="BL191" i="3"/>
  <c r="BL195" i="3" s="1"/>
  <c r="BL199" i="3" s="1"/>
  <c r="BL64" i="3" s="1"/>
  <c r="H192" i="3"/>
  <c r="H196" i="3" s="1"/>
  <c r="H200" i="3" s="1"/>
  <c r="I192" i="3"/>
  <c r="I196" i="3" s="1"/>
  <c r="I200" i="3" s="1"/>
  <c r="J192" i="3"/>
  <c r="J196" i="3" s="1"/>
  <c r="J200" i="3" s="1"/>
  <c r="K192" i="3"/>
  <c r="K196" i="3" s="1"/>
  <c r="K200" i="3" s="1"/>
  <c r="L192" i="3"/>
  <c r="L196" i="3" s="1"/>
  <c r="L200" i="3" s="1"/>
  <c r="M192" i="3"/>
  <c r="N192" i="3"/>
  <c r="N196" i="3" s="1"/>
  <c r="N200" i="3" s="1"/>
  <c r="O192" i="3"/>
  <c r="O196" i="3" s="1"/>
  <c r="O200" i="3" s="1"/>
  <c r="P192" i="3"/>
  <c r="P196" i="3" s="1"/>
  <c r="P200" i="3" s="1"/>
  <c r="Q192" i="3"/>
  <c r="Q196" i="3" s="1"/>
  <c r="Q200" i="3" s="1"/>
  <c r="R192" i="3"/>
  <c r="R196" i="3" s="1"/>
  <c r="R200" i="3" s="1"/>
  <c r="S192" i="3"/>
  <c r="S196" i="3" s="1"/>
  <c r="S200" i="3" s="1"/>
  <c r="T192" i="3"/>
  <c r="T196" i="3" s="1"/>
  <c r="T200" i="3" s="1"/>
  <c r="U192" i="3"/>
  <c r="U196" i="3" s="1"/>
  <c r="U200" i="3" s="1"/>
  <c r="V192" i="3"/>
  <c r="V196" i="3" s="1"/>
  <c r="V200" i="3" s="1"/>
  <c r="W192" i="3"/>
  <c r="W196" i="3" s="1"/>
  <c r="W200" i="3" s="1"/>
  <c r="X192" i="3"/>
  <c r="X196" i="3" s="1"/>
  <c r="X200" i="3" s="1"/>
  <c r="Y192" i="3"/>
  <c r="Y196" i="3" s="1"/>
  <c r="Y200" i="3" s="1"/>
  <c r="Z192" i="3"/>
  <c r="Z196" i="3" s="1"/>
  <c r="Z200" i="3" s="1"/>
  <c r="AA192" i="3"/>
  <c r="AA196" i="3" s="1"/>
  <c r="AA200" i="3" s="1"/>
  <c r="AB192" i="3"/>
  <c r="AB196" i="3" s="1"/>
  <c r="AB200" i="3" s="1"/>
  <c r="AF192" i="3"/>
  <c r="AF196" i="3" s="1"/>
  <c r="AF200" i="3" s="1"/>
  <c r="AP192" i="3"/>
  <c r="AP196" i="3" s="1"/>
  <c r="AP200" i="3" s="1"/>
  <c r="AQ192" i="3"/>
  <c r="AQ196" i="3" s="1"/>
  <c r="AQ200" i="3" s="1"/>
  <c r="AR192" i="3"/>
  <c r="AR196" i="3" s="1"/>
  <c r="AR200" i="3" s="1"/>
  <c r="AS192" i="3"/>
  <c r="AS196" i="3" s="1"/>
  <c r="AS200" i="3" s="1"/>
  <c r="AT192" i="3"/>
  <c r="AT196" i="3" s="1"/>
  <c r="AT200" i="3" s="1"/>
  <c r="AU192" i="3"/>
  <c r="AU196" i="3" s="1"/>
  <c r="AU200" i="3" s="1"/>
  <c r="AV192" i="3"/>
  <c r="AV196" i="3" s="1"/>
  <c r="AV200" i="3" s="1"/>
  <c r="AY192" i="3"/>
  <c r="AY196" i="3" s="1"/>
  <c r="AY200" i="3" s="1"/>
  <c r="AY65" i="3" s="1"/>
  <c r="AZ192" i="3"/>
  <c r="AZ196" i="3" s="1"/>
  <c r="AZ200" i="3" s="1"/>
  <c r="AZ65" i="3" s="1"/>
  <c r="BA192" i="3"/>
  <c r="BA196" i="3" s="1"/>
  <c r="BA200" i="3" s="1"/>
  <c r="BA65" i="3" s="1"/>
  <c r="BB192" i="3"/>
  <c r="BB196" i="3" s="1"/>
  <c r="BB200" i="3" s="1"/>
  <c r="BB65" i="3" s="1"/>
  <c r="BC192" i="3"/>
  <c r="BC196" i="3" s="1"/>
  <c r="BC200" i="3" s="1"/>
  <c r="BC65" i="3" s="1"/>
  <c r="BD192" i="3"/>
  <c r="BD196" i="3" s="1"/>
  <c r="BD200" i="3" s="1"/>
  <c r="BD65" i="3" s="1"/>
  <c r="BE192" i="3"/>
  <c r="BE196" i="3" s="1"/>
  <c r="BE200" i="3" s="1"/>
  <c r="BE65" i="3" s="1"/>
  <c r="BF192" i="3"/>
  <c r="BF196" i="3" s="1"/>
  <c r="BF200" i="3" s="1"/>
  <c r="BF65" i="3" s="1"/>
  <c r="BG192" i="3"/>
  <c r="BG196" i="3" s="1"/>
  <c r="BG200" i="3" s="1"/>
  <c r="BG65" i="3" s="1"/>
  <c r="BH192" i="3"/>
  <c r="BH196" i="3" s="1"/>
  <c r="BH200" i="3" s="1"/>
  <c r="BH65" i="3" s="1"/>
  <c r="BI192" i="3"/>
  <c r="BI196" i="3" s="1"/>
  <c r="BI200" i="3" s="1"/>
  <c r="BI65" i="3" s="1"/>
  <c r="BJ192" i="3"/>
  <c r="BJ196" i="3" s="1"/>
  <c r="BJ200" i="3" s="1"/>
  <c r="BJ65" i="3" s="1"/>
  <c r="BK192" i="3"/>
  <c r="BK196" i="3" s="1"/>
  <c r="BK200" i="3" s="1"/>
  <c r="BK65" i="3" s="1"/>
  <c r="BL192" i="3"/>
  <c r="BL196" i="3" s="1"/>
  <c r="BL200" i="3" s="1"/>
  <c r="BL65" i="3" s="1"/>
  <c r="G192" i="3"/>
  <c r="G191" i="3"/>
  <c r="G190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BL92" i="3"/>
  <c r="BK92" i="3"/>
  <c r="BJ92" i="3"/>
  <c r="BI92" i="3"/>
  <c r="BH92" i="3"/>
  <c r="BG92" i="3"/>
  <c r="BF92" i="3"/>
  <c r="BE92" i="3"/>
  <c r="BD92" i="3"/>
  <c r="BC92" i="3"/>
  <c r="BB92" i="3"/>
  <c r="BA92" i="3"/>
  <c r="AZ92" i="3"/>
  <c r="AY92" i="3"/>
  <c r="BZ200" i="1"/>
  <c r="BZ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F174" i="1"/>
  <c r="BA174" i="1"/>
  <c r="AZ174" i="1"/>
  <c r="AY174" i="1"/>
  <c r="AW174" i="1"/>
  <c r="AV174" i="1"/>
  <c r="AS174" i="1"/>
  <c r="AQ174" i="1"/>
  <c r="AP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B174" i="1"/>
  <c r="BZ173" i="1"/>
  <c r="BV173" i="1"/>
  <c r="BU173" i="1"/>
  <c r="BT173" i="1"/>
  <c r="BS173" i="1"/>
  <c r="BR173" i="1"/>
  <c r="BQ173" i="1"/>
  <c r="BP173" i="1"/>
  <c r="BO173" i="1"/>
  <c r="BN173" i="1"/>
  <c r="BM173" i="1"/>
  <c r="BL173" i="1"/>
  <c r="BK173" i="1"/>
  <c r="BJ173" i="1"/>
  <c r="BI173" i="1"/>
  <c r="BH173" i="1"/>
  <c r="BG173" i="1"/>
  <c r="BF173" i="1"/>
  <c r="BA173" i="1"/>
  <c r="AZ173" i="1"/>
  <c r="AY173" i="1"/>
  <c r="AW173" i="1"/>
  <c r="AV173" i="1"/>
  <c r="AS173" i="1"/>
  <c r="AQ173" i="1"/>
  <c r="AP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B173" i="1"/>
  <c r="BZ207" i="1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Y116" i="3"/>
  <c r="AZ116" i="3"/>
  <c r="BA116" i="3"/>
  <c r="BB116" i="3"/>
  <c r="BC116" i="3"/>
  <c r="BE116" i="3"/>
  <c r="BF116" i="3"/>
  <c r="BG116" i="3"/>
  <c r="BH116" i="3"/>
  <c r="BI116" i="3"/>
  <c r="BJ116" i="3"/>
  <c r="BK116" i="3"/>
  <c r="BL116" i="3"/>
  <c r="AY117" i="3"/>
  <c r="AZ117" i="3"/>
  <c r="BA117" i="3"/>
  <c r="BB117" i="3"/>
  <c r="BC117" i="3"/>
  <c r="BE117" i="3"/>
  <c r="BF117" i="3"/>
  <c r="BG117" i="3"/>
  <c r="BH117" i="3"/>
  <c r="BI117" i="3"/>
  <c r="BJ117" i="3"/>
  <c r="BK117" i="3"/>
  <c r="BL117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AY119" i="3"/>
  <c r="AZ119" i="3"/>
  <c r="BA119" i="3"/>
  <c r="BB119" i="3"/>
  <c r="BC119" i="3"/>
  <c r="BE119" i="3"/>
  <c r="BF119" i="3"/>
  <c r="BG119" i="3"/>
  <c r="BH119" i="3"/>
  <c r="BI119" i="3"/>
  <c r="BJ119" i="3"/>
  <c r="BK119" i="3"/>
  <c r="BL119" i="3"/>
  <c r="AY105" i="3"/>
  <c r="AZ105" i="3"/>
  <c r="BA105" i="3"/>
  <c r="BB105" i="3"/>
  <c r="BC105" i="3"/>
  <c r="BE105" i="3"/>
  <c r="BF105" i="3"/>
  <c r="BG105" i="3"/>
  <c r="BH105" i="3"/>
  <c r="BI105" i="3"/>
  <c r="BJ105" i="3"/>
  <c r="BK105" i="3"/>
  <c r="BL105" i="3"/>
  <c r="AY100" i="3"/>
  <c r="AZ100" i="3"/>
  <c r="BA100" i="3"/>
  <c r="BB100" i="3"/>
  <c r="BC100" i="3"/>
  <c r="BE100" i="3"/>
  <c r="BF100" i="3"/>
  <c r="BG100" i="3"/>
  <c r="BH100" i="3"/>
  <c r="BI100" i="3"/>
  <c r="BJ100" i="3"/>
  <c r="BK100" i="3"/>
  <c r="BL100" i="3"/>
  <c r="BZ17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D157" i="1"/>
  <c r="C155" i="1"/>
  <c r="BZ154" i="1"/>
  <c r="AX72" i="3" l="1"/>
  <c r="AX88" i="3"/>
  <c r="AX87" i="3"/>
  <c r="AX79" i="3"/>
  <c r="AX93" i="3"/>
  <c r="AX92" i="3"/>
  <c r="AX78" i="3"/>
  <c r="AX77" i="3"/>
  <c r="AX76" i="3"/>
  <c r="AX100" i="3"/>
  <c r="BS100" i="3" s="1"/>
  <c r="AX105" i="3"/>
  <c r="BS105" i="3" s="1"/>
  <c r="AX119" i="3"/>
  <c r="BS119" i="3" s="1"/>
  <c r="AX118" i="3"/>
  <c r="BS118" i="3" s="1"/>
  <c r="AX117" i="3"/>
  <c r="BM117" i="3" s="1"/>
  <c r="AX116" i="3"/>
  <c r="BM116" i="3" s="1"/>
  <c r="AX68" i="3"/>
  <c r="BM68" i="3" s="1"/>
  <c r="AX69" i="3"/>
  <c r="BM69" i="3" s="1"/>
  <c r="AX65" i="3"/>
  <c r="AX64" i="3"/>
  <c r="AX63" i="3"/>
  <c r="AX84" i="3"/>
  <c r="AX83" i="3"/>
  <c r="AX122" i="3"/>
  <c r="AX125" i="3"/>
  <c r="AX130" i="3"/>
  <c r="BS130" i="3" s="1"/>
  <c r="AX128" i="3"/>
  <c r="BS128" i="3" s="1"/>
  <c r="AX139" i="3"/>
  <c r="AX138" i="3"/>
  <c r="AX137" i="3"/>
  <c r="AX136" i="3"/>
  <c r="BS136" i="3" s="1"/>
  <c r="AX135" i="3"/>
  <c r="BS135" i="3" s="1"/>
  <c r="AX134" i="3"/>
  <c r="BS134" i="3" s="1"/>
  <c r="AX151" i="3"/>
  <c r="AX150" i="3"/>
  <c r="AX149" i="3"/>
  <c r="AX148" i="3"/>
  <c r="AX156" i="3"/>
  <c r="AX50" i="3"/>
  <c r="BM119" i="3"/>
  <c r="H14" i="4"/>
  <c r="BM88" i="3"/>
  <c r="AN218" i="3"/>
  <c r="AN219" i="3" s="1"/>
  <c r="AN220" i="3" s="1"/>
  <c r="AO218" i="3"/>
  <c r="AO219" i="3" s="1"/>
  <c r="AO220" i="3" s="1"/>
  <c r="AN223" i="3"/>
  <c r="AN224" i="3" s="1"/>
  <c r="AN225" i="3" s="1"/>
  <c r="AO223" i="3"/>
  <c r="AO224" i="3" s="1"/>
  <c r="AO225" i="3" s="1"/>
  <c r="AN228" i="3"/>
  <c r="AN229" i="3" s="1"/>
  <c r="AN230" i="3" s="1"/>
  <c r="AO228" i="3"/>
  <c r="AO229" i="3" s="1"/>
  <c r="AO230" i="3" s="1"/>
  <c r="AN236" i="3"/>
  <c r="AN239" i="3" s="1"/>
  <c r="AN242" i="3" s="1"/>
  <c r="AO236" i="3"/>
  <c r="AO239" i="3" s="1"/>
  <c r="AO242" i="3" s="1"/>
  <c r="AN235" i="3"/>
  <c r="AN238" i="3" s="1"/>
  <c r="AN241" i="3" s="1"/>
  <c r="AO235" i="3"/>
  <c r="AO238" i="3" s="1"/>
  <c r="AO241" i="3" s="1"/>
  <c r="AN248" i="3"/>
  <c r="AN251" i="3" s="1"/>
  <c r="AN254" i="3" s="1"/>
  <c r="AO248" i="3"/>
  <c r="AO251" i="3" s="1"/>
  <c r="AO254" i="3" s="1"/>
  <c r="AN247" i="3"/>
  <c r="AN250" i="3" s="1"/>
  <c r="AN253" i="3" s="1"/>
  <c r="AO247" i="3"/>
  <c r="AO250" i="3" s="1"/>
  <c r="AO253" i="3" s="1"/>
  <c r="AN257" i="3"/>
  <c r="AN258" i="3" s="1"/>
  <c r="AN259" i="3" s="1"/>
  <c r="AO257" i="3"/>
  <c r="AO258" i="3" s="1"/>
  <c r="AO259" i="3" s="1"/>
  <c r="AN262" i="3"/>
  <c r="AN263" i="3" s="1"/>
  <c r="AN264" i="3" s="1"/>
  <c r="AO262" i="3"/>
  <c r="AO263" i="3" s="1"/>
  <c r="AO264" i="3" s="1"/>
  <c r="AN268" i="3"/>
  <c r="AN269" i="3" s="1"/>
  <c r="AO268" i="3"/>
  <c r="AO269" i="3" s="1"/>
  <c r="AN295" i="3"/>
  <c r="AO295" i="3"/>
  <c r="AN298" i="3"/>
  <c r="AO298" i="3"/>
  <c r="AN297" i="3"/>
  <c r="AO297" i="3"/>
  <c r="AN296" i="3"/>
  <c r="AO296" i="3"/>
  <c r="AN299" i="3"/>
  <c r="AO299" i="3"/>
  <c r="AH218" i="3"/>
  <c r="AH219" i="3" s="1"/>
  <c r="AH220" i="3" s="1"/>
  <c r="AG218" i="3"/>
  <c r="AG219" i="3" s="1"/>
  <c r="AG220" i="3" s="1"/>
  <c r="AH223" i="3"/>
  <c r="AH224" i="3" s="1"/>
  <c r="AH225" i="3" s="1"/>
  <c r="AG223" i="3"/>
  <c r="AG224" i="3" s="1"/>
  <c r="AG225" i="3" s="1"/>
  <c r="AH228" i="3"/>
  <c r="AH229" i="3" s="1"/>
  <c r="AH230" i="3" s="1"/>
  <c r="AG228" i="3"/>
  <c r="AG229" i="3" s="1"/>
  <c r="AG230" i="3" s="1"/>
  <c r="AH236" i="3"/>
  <c r="AH239" i="3" s="1"/>
  <c r="AH242" i="3" s="1"/>
  <c r="AG236" i="3"/>
  <c r="AG239" i="3" s="1"/>
  <c r="AG242" i="3" s="1"/>
  <c r="AH235" i="3"/>
  <c r="AH238" i="3" s="1"/>
  <c r="AH241" i="3" s="1"/>
  <c r="AG235" i="3"/>
  <c r="AG238" i="3" s="1"/>
  <c r="AG241" i="3" s="1"/>
  <c r="AH248" i="3"/>
  <c r="AH251" i="3" s="1"/>
  <c r="AH254" i="3" s="1"/>
  <c r="AG248" i="3"/>
  <c r="AG251" i="3" s="1"/>
  <c r="AG254" i="3" s="1"/>
  <c r="AH247" i="3"/>
  <c r="AH250" i="3" s="1"/>
  <c r="AH253" i="3" s="1"/>
  <c r="AG247" i="3"/>
  <c r="AG250" i="3" s="1"/>
  <c r="AG253" i="3" s="1"/>
  <c r="AH257" i="3"/>
  <c r="AH258" i="3" s="1"/>
  <c r="AH259" i="3" s="1"/>
  <c r="AG257" i="3"/>
  <c r="AG258" i="3" s="1"/>
  <c r="AG259" i="3" s="1"/>
  <c r="AH262" i="3"/>
  <c r="AH263" i="3" s="1"/>
  <c r="AH264" i="3" s="1"/>
  <c r="AG262" i="3"/>
  <c r="AG263" i="3" s="1"/>
  <c r="AG264" i="3" s="1"/>
  <c r="AH268" i="3"/>
  <c r="AH269" i="3" s="1"/>
  <c r="AG268" i="3"/>
  <c r="AG269" i="3" s="1"/>
  <c r="AH295" i="3"/>
  <c r="AG295" i="3"/>
  <c r="AH298" i="3"/>
  <c r="AG298" i="3"/>
  <c r="AH297" i="3"/>
  <c r="AG297" i="3"/>
  <c r="AH296" i="3"/>
  <c r="AG296" i="3"/>
  <c r="AH299" i="3"/>
  <c r="AG299" i="3"/>
  <c r="AI218" i="3"/>
  <c r="AI219" i="3" s="1"/>
  <c r="AI220" i="3" s="1"/>
  <c r="AM218" i="3"/>
  <c r="AM219" i="3" s="1"/>
  <c r="AM220" i="3" s="1"/>
  <c r="AI223" i="3"/>
  <c r="AI224" i="3" s="1"/>
  <c r="AI225" i="3" s="1"/>
  <c r="AM223" i="3"/>
  <c r="AM224" i="3" s="1"/>
  <c r="AM225" i="3" s="1"/>
  <c r="AI228" i="3"/>
  <c r="AI229" i="3" s="1"/>
  <c r="AI230" i="3" s="1"/>
  <c r="AM228" i="3"/>
  <c r="AM229" i="3" s="1"/>
  <c r="AM230" i="3" s="1"/>
  <c r="AI236" i="3"/>
  <c r="AI239" i="3" s="1"/>
  <c r="AI242" i="3" s="1"/>
  <c r="AM236" i="3"/>
  <c r="AM239" i="3" s="1"/>
  <c r="AM242" i="3" s="1"/>
  <c r="AI235" i="3"/>
  <c r="AI238" i="3" s="1"/>
  <c r="AI241" i="3" s="1"/>
  <c r="AM235" i="3"/>
  <c r="AM238" i="3" s="1"/>
  <c r="AM241" i="3" s="1"/>
  <c r="AI248" i="3"/>
  <c r="AI251" i="3" s="1"/>
  <c r="AI254" i="3" s="1"/>
  <c r="AM248" i="3"/>
  <c r="AM251" i="3" s="1"/>
  <c r="AM254" i="3" s="1"/>
  <c r="AI247" i="3"/>
  <c r="AI250" i="3" s="1"/>
  <c r="AI253" i="3" s="1"/>
  <c r="AM247" i="3"/>
  <c r="AM250" i="3" s="1"/>
  <c r="AM253" i="3" s="1"/>
  <c r="AI257" i="3"/>
  <c r="AI258" i="3" s="1"/>
  <c r="AI259" i="3" s="1"/>
  <c r="AM257" i="3"/>
  <c r="AM258" i="3" s="1"/>
  <c r="AM259" i="3" s="1"/>
  <c r="AI262" i="3"/>
  <c r="AI263" i="3" s="1"/>
  <c r="AI264" i="3" s="1"/>
  <c r="AM262" i="3"/>
  <c r="AM263" i="3" s="1"/>
  <c r="AM264" i="3" s="1"/>
  <c r="AI268" i="3"/>
  <c r="AI269" i="3" s="1"/>
  <c r="AM268" i="3"/>
  <c r="AM269" i="3" s="1"/>
  <c r="AI295" i="3"/>
  <c r="AM295" i="3"/>
  <c r="AI298" i="3"/>
  <c r="AM298" i="3"/>
  <c r="AI297" i="3"/>
  <c r="AM297" i="3"/>
  <c r="AI296" i="3"/>
  <c r="AM296" i="3"/>
  <c r="AI299" i="3"/>
  <c r="AM299" i="3"/>
  <c r="AL218" i="3"/>
  <c r="AL219" i="3" s="1"/>
  <c r="AL220" i="3" s="1"/>
  <c r="AK218" i="3"/>
  <c r="AK219" i="3" s="1"/>
  <c r="AK220" i="3" s="1"/>
  <c r="AJ218" i="3"/>
  <c r="AJ219" i="3" s="1"/>
  <c r="AJ220" i="3" s="1"/>
  <c r="AL223" i="3"/>
  <c r="AL224" i="3" s="1"/>
  <c r="AL225" i="3" s="1"/>
  <c r="AK223" i="3"/>
  <c r="AK224" i="3" s="1"/>
  <c r="AK225" i="3" s="1"/>
  <c r="AJ223" i="3"/>
  <c r="AJ224" i="3" s="1"/>
  <c r="AJ225" i="3" s="1"/>
  <c r="AL228" i="3"/>
  <c r="AL229" i="3" s="1"/>
  <c r="AL230" i="3" s="1"/>
  <c r="AK228" i="3"/>
  <c r="AK229" i="3" s="1"/>
  <c r="AK230" i="3" s="1"/>
  <c r="AJ228" i="3"/>
  <c r="AJ229" i="3" s="1"/>
  <c r="AJ230" i="3" s="1"/>
  <c r="AL236" i="3"/>
  <c r="AL239" i="3" s="1"/>
  <c r="AL242" i="3" s="1"/>
  <c r="AK236" i="3"/>
  <c r="AK239" i="3" s="1"/>
  <c r="AK242" i="3" s="1"/>
  <c r="AJ236" i="3"/>
  <c r="AJ239" i="3" s="1"/>
  <c r="AJ242" i="3" s="1"/>
  <c r="AL235" i="3"/>
  <c r="AL238" i="3" s="1"/>
  <c r="AL241" i="3" s="1"/>
  <c r="AK235" i="3"/>
  <c r="AK238" i="3" s="1"/>
  <c r="AK241" i="3" s="1"/>
  <c r="AJ235" i="3"/>
  <c r="AJ238" i="3" s="1"/>
  <c r="AJ241" i="3" s="1"/>
  <c r="AL248" i="3"/>
  <c r="AL251" i="3" s="1"/>
  <c r="AL254" i="3" s="1"/>
  <c r="AK248" i="3"/>
  <c r="AK251" i="3" s="1"/>
  <c r="AK254" i="3" s="1"/>
  <c r="AJ248" i="3"/>
  <c r="AJ251" i="3" s="1"/>
  <c r="AJ254" i="3" s="1"/>
  <c r="AL247" i="3"/>
  <c r="AL250" i="3" s="1"/>
  <c r="AL253" i="3" s="1"/>
  <c r="AK247" i="3"/>
  <c r="AK250" i="3" s="1"/>
  <c r="AK253" i="3" s="1"/>
  <c r="AJ247" i="3"/>
  <c r="AJ250" i="3" s="1"/>
  <c r="AJ253" i="3" s="1"/>
  <c r="AL257" i="3"/>
  <c r="AL258" i="3" s="1"/>
  <c r="AL259" i="3" s="1"/>
  <c r="AK257" i="3"/>
  <c r="AK258" i="3" s="1"/>
  <c r="AK259" i="3" s="1"/>
  <c r="AJ257" i="3"/>
  <c r="AJ258" i="3" s="1"/>
  <c r="AJ259" i="3" s="1"/>
  <c r="AL262" i="3"/>
  <c r="AL263" i="3" s="1"/>
  <c r="AL264" i="3" s="1"/>
  <c r="AK262" i="3"/>
  <c r="AK263" i="3" s="1"/>
  <c r="AK264" i="3" s="1"/>
  <c r="AJ262" i="3"/>
  <c r="AJ263" i="3" s="1"/>
  <c r="AJ264" i="3" s="1"/>
  <c r="AL268" i="3"/>
  <c r="AL269" i="3" s="1"/>
  <c r="AK268" i="3"/>
  <c r="AK269" i="3" s="1"/>
  <c r="AJ268" i="3"/>
  <c r="AJ269" i="3" s="1"/>
  <c r="AL295" i="3"/>
  <c r="AK295" i="3"/>
  <c r="AJ295" i="3"/>
  <c r="AL298" i="3"/>
  <c r="AK298" i="3"/>
  <c r="AJ298" i="3"/>
  <c r="AL297" i="3"/>
  <c r="AK297" i="3"/>
  <c r="AJ297" i="3"/>
  <c r="AL296" i="3"/>
  <c r="AK296" i="3"/>
  <c r="AJ296" i="3"/>
  <c r="AL299" i="3"/>
  <c r="AK299" i="3"/>
  <c r="AJ299" i="3"/>
  <c r="BM275" i="3"/>
  <c r="BS150" i="3"/>
  <c r="BS138" i="3"/>
  <c r="BM274" i="3"/>
  <c r="BS148" i="3"/>
  <c r="BS69" i="3"/>
  <c r="BS149" i="3"/>
  <c r="BM273" i="3"/>
  <c r="BS156" i="3"/>
  <c r="BS139" i="3"/>
  <c r="BM272" i="3"/>
  <c r="BS151" i="3"/>
  <c r="H4" i="4"/>
  <c r="O2" i="4"/>
  <c r="H2" i="4"/>
  <c r="H8" i="4"/>
  <c r="O8" i="4"/>
  <c r="AF44" i="9"/>
  <c r="BM169" i="3"/>
  <c r="M196" i="3"/>
  <c r="M195" i="3"/>
  <c r="M194" i="3"/>
  <c r="M212" i="3"/>
  <c r="M211" i="3"/>
  <c r="M210" i="3"/>
  <c r="AE218" i="3"/>
  <c r="AE219" i="3" s="1"/>
  <c r="AE220" i="3" s="1"/>
  <c r="AE223" i="3"/>
  <c r="AE224" i="3" s="1"/>
  <c r="AE225" i="3" s="1"/>
  <c r="AE228" i="3"/>
  <c r="AE229" i="3" s="1"/>
  <c r="AE230" i="3" s="1"/>
  <c r="AE236" i="3"/>
  <c r="AE239" i="3" s="1"/>
  <c r="AE242" i="3" s="1"/>
  <c r="AE235" i="3"/>
  <c r="AE238" i="3" s="1"/>
  <c r="AE241" i="3" s="1"/>
  <c r="AE248" i="3"/>
  <c r="AE251" i="3" s="1"/>
  <c r="AE254" i="3" s="1"/>
  <c r="AE247" i="3"/>
  <c r="AE250" i="3" s="1"/>
  <c r="AE253" i="3" s="1"/>
  <c r="AE257" i="3"/>
  <c r="AE258" i="3" s="1"/>
  <c r="AE259" i="3" s="1"/>
  <c r="AE262" i="3"/>
  <c r="AE263" i="3" s="1"/>
  <c r="AE264" i="3" s="1"/>
  <c r="H295" i="3"/>
  <c r="I295" i="3"/>
  <c r="J295" i="3"/>
  <c r="K295" i="3"/>
  <c r="L295" i="3"/>
  <c r="M295" i="3"/>
  <c r="N295" i="3"/>
  <c r="O295" i="3"/>
  <c r="P295" i="3"/>
  <c r="Q295" i="3"/>
  <c r="R295" i="3"/>
  <c r="S295" i="3"/>
  <c r="T295" i="3"/>
  <c r="U295" i="3"/>
  <c r="V295" i="3"/>
  <c r="W295" i="3"/>
  <c r="X295" i="3"/>
  <c r="Y295" i="3"/>
  <c r="Z295" i="3"/>
  <c r="AA295" i="3"/>
  <c r="AB295" i="3"/>
  <c r="AE295" i="3"/>
  <c r="AF295" i="3"/>
  <c r="AP295" i="3"/>
  <c r="AQ295" i="3"/>
  <c r="AR295" i="3"/>
  <c r="AS295" i="3"/>
  <c r="AT295" i="3"/>
  <c r="AU295" i="3"/>
  <c r="AV295" i="3"/>
  <c r="AY295" i="3"/>
  <c r="AZ295" i="3"/>
  <c r="BA295" i="3"/>
  <c r="BB295" i="3"/>
  <c r="BC295" i="3"/>
  <c r="BD295" i="3"/>
  <c r="BE295" i="3"/>
  <c r="BF295" i="3"/>
  <c r="BG295" i="3"/>
  <c r="BH295" i="3"/>
  <c r="BI295" i="3"/>
  <c r="BJ295" i="3"/>
  <c r="BK295" i="3"/>
  <c r="BL295" i="3"/>
  <c r="G295" i="3"/>
  <c r="H298" i="3"/>
  <c r="I298" i="3"/>
  <c r="J298" i="3"/>
  <c r="K298" i="3"/>
  <c r="L298" i="3"/>
  <c r="M298" i="3"/>
  <c r="N298" i="3"/>
  <c r="O298" i="3"/>
  <c r="P298" i="3"/>
  <c r="Q298" i="3"/>
  <c r="R298" i="3"/>
  <c r="S298" i="3"/>
  <c r="T298" i="3"/>
  <c r="U298" i="3"/>
  <c r="V298" i="3"/>
  <c r="W298" i="3"/>
  <c r="X298" i="3"/>
  <c r="Y298" i="3"/>
  <c r="Z298" i="3"/>
  <c r="AA298" i="3"/>
  <c r="AB298" i="3"/>
  <c r="AE298" i="3"/>
  <c r="AF298" i="3"/>
  <c r="AP298" i="3"/>
  <c r="AQ298" i="3"/>
  <c r="AR298" i="3"/>
  <c r="AS298" i="3"/>
  <c r="AT298" i="3"/>
  <c r="AU298" i="3"/>
  <c r="AV298" i="3"/>
  <c r="AY298" i="3"/>
  <c r="AZ298" i="3"/>
  <c r="BA298" i="3"/>
  <c r="BB298" i="3"/>
  <c r="BC298" i="3"/>
  <c r="BD298" i="3"/>
  <c r="BE298" i="3"/>
  <c r="BF298" i="3"/>
  <c r="BG298" i="3"/>
  <c r="BH298" i="3"/>
  <c r="BI298" i="3"/>
  <c r="BJ298" i="3"/>
  <c r="BK298" i="3"/>
  <c r="BL298" i="3"/>
  <c r="G298" i="3"/>
  <c r="H297" i="3"/>
  <c r="I297" i="3"/>
  <c r="J297" i="3"/>
  <c r="K297" i="3"/>
  <c r="L297" i="3"/>
  <c r="M297" i="3"/>
  <c r="N297" i="3"/>
  <c r="O297" i="3"/>
  <c r="P297" i="3"/>
  <c r="Q297" i="3"/>
  <c r="R297" i="3"/>
  <c r="S297" i="3"/>
  <c r="T297" i="3"/>
  <c r="U297" i="3"/>
  <c r="V297" i="3"/>
  <c r="W297" i="3"/>
  <c r="X297" i="3"/>
  <c r="Y297" i="3"/>
  <c r="Z297" i="3"/>
  <c r="AA297" i="3"/>
  <c r="AB297" i="3"/>
  <c r="AE297" i="3"/>
  <c r="AF297" i="3"/>
  <c r="AP297" i="3"/>
  <c r="AQ297" i="3"/>
  <c r="AR297" i="3"/>
  <c r="AS297" i="3"/>
  <c r="AT297" i="3"/>
  <c r="AU297" i="3"/>
  <c r="AV297" i="3"/>
  <c r="AY297" i="3"/>
  <c r="AZ297" i="3"/>
  <c r="BA297" i="3"/>
  <c r="BB297" i="3"/>
  <c r="BC297" i="3"/>
  <c r="BD297" i="3"/>
  <c r="BE297" i="3"/>
  <c r="BF297" i="3"/>
  <c r="BG297" i="3"/>
  <c r="BH297" i="3"/>
  <c r="BI297" i="3"/>
  <c r="BJ297" i="3"/>
  <c r="BK297" i="3"/>
  <c r="BL297" i="3"/>
  <c r="G297" i="3"/>
  <c r="H296" i="3"/>
  <c r="I296" i="3"/>
  <c r="J296" i="3"/>
  <c r="K296" i="3"/>
  <c r="L296" i="3"/>
  <c r="M296" i="3"/>
  <c r="N296" i="3"/>
  <c r="O296" i="3"/>
  <c r="P296" i="3"/>
  <c r="Q296" i="3"/>
  <c r="R296" i="3"/>
  <c r="S296" i="3"/>
  <c r="T296" i="3"/>
  <c r="U296" i="3"/>
  <c r="V296" i="3"/>
  <c r="W296" i="3"/>
  <c r="X296" i="3"/>
  <c r="Y296" i="3"/>
  <c r="Z296" i="3"/>
  <c r="AA296" i="3"/>
  <c r="AB296" i="3"/>
  <c r="AE296" i="3"/>
  <c r="AF296" i="3"/>
  <c r="AP296" i="3"/>
  <c r="AQ296" i="3"/>
  <c r="AR296" i="3"/>
  <c r="AS296" i="3"/>
  <c r="AT296" i="3"/>
  <c r="AU296" i="3"/>
  <c r="AV296" i="3"/>
  <c r="AY296" i="3"/>
  <c r="AZ296" i="3"/>
  <c r="BA296" i="3"/>
  <c r="BB296" i="3"/>
  <c r="BC296" i="3"/>
  <c r="BD296" i="3"/>
  <c r="BE296" i="3"/>
  <c r="BF296" i="3"/>
  <c r="BG296" i="3"/>
  <c r="BH296" i="3"/>
  <c r="BI296" i="3"/>
  <c r="BJ296" i="3"/>
  <c r="BK296" i="3"/>
  <c r="BL296" i="3"/>
  <c r="G296" i="3"/>
  <c r="H299" i="3"/>
  <c r="I299" i="3"/>
  <c r="J299" i="3"/>
  <c r="K299" i="3"/>
  <c r="L299" i="3"/>
  <c r="M299" i="3"/>
  <c r="N299" i="3"/>
  <c r="O299" i="3"/>
  <c r="P299" i="3"/>
  <c r="Q299" i="3"/>
  <c r="R299" i="3"/>
  <c r="S299" i="3"/>
  <c r="T299" i="3"/>
  <c r="U299" i="3"/>
  <c r="V299" i="3"/>
  <c r="W299" i="3"/>
  <c r="X299" i="3"/>
  <c r="Y299" i="3"/>
  <c r="Z299" i="3"/>
  <c r="AA299" i="3"/>
  <c r="AB299" i="3"/>
  <c r="AE299" i="3"/>
  <c r="AF299" i="3"/>
  <c r="AP299" i="3"/>
  <c r="AQ299" i="3"/>
  <c r="AR299" i="3"/>
  <c r="AS299" i="3"/>
  <c r="AT299" i="3"/>
  <c r="AU299" i="3"/>
  <c r="AV299" i="3"/>
  <c r="AY299" i="3"/>
  <c r="AZ299" i="3"/>
  <c r="BA299" i="3"/>
  <c r="BB299" i="3"/>
  <c r="BC299" i="3"/>
  <c r="BD299" i="3"/>
  <c r="BE299" i="3"/>
  <c r="BF299" i="3"/>
  <c r="BG299" i="3"/>
  <c r="BH299" i="3"/>
  <c r="BI299" i="3"/>
  <c r="BJ299" i="3"/>
  <c r="BK299" i="3"/>
  <c r="BL299" i="3"/>
  <c r="G299" i="3"/>
  <c r="O9" i="4"/>
  <c r="P9" i="4" s="1"/>
  <c r="P8" i="4"/>
  <c r="O7" i="4"/>
  <c r="P7" i="4" s="1"/>
  <c r="O6" i="4"/>
  <c r="P6" i="4" s="1"/>
  <c r="O5" i="4"/>
  <c r="P5" i="4" s="1"/>
  <c r="O4" i="4"/>
  <c r="P4" i="4" s="1"/>
  <c r="O3" i="4"/>
  <c r="O11" i="4"/>
  <c r="P11" i="4" s="1"/>
  <c r="O12" i="4"/>
  <c r="P12" i="4" s="1"/>
  <c r="O13" i="4"/>
  <c r="P13" i="4" s="1"/>
  <c r="O15" i="4"/>
  <c r="P15" i="4" s="1"/>
  <c r="O16" i="4"/>
  <c r="P16" i="4" s="1"/>
  <c r="O17" i="4"/>
  <c r="P17" i="4" s="1"/>
  <c r="O18" i="4"/>
  <c r="P18" i="4" s="1"/>
  <c r="O19" i="4"/>
  <c r="P19" i="4" s="1"/>
  <c r="O20" i="4"/>
  <c r="P20" i="4" s="1"/>
  <c r="O21" i="4"/>
  <c r="P21" i="4" s="1"/>
  <c r="O22" i="4"/>
  <c r="P22" i="4" s="1"/>
  <c r="O23" i="4"/>
  <c r="P23" i="4" s="1"/>
  <c r="O24" i="4"/>
  <c r="P24" i="4" s="1"/>
  <c r="O25" i="4"/>
  <c r="P25" i="4" s="1"/>
  <c r="O26" i="4"/>
  <c r="P26" i="4" s="1"/>
  <c r="O27" i="4"/>
  <c r="P27" i="4" s="1"/>
  <c r="O28" i="4"/>
  <c r="P28" i="4" s="1"/>
  <c r="O30" i="4"/>
  <c r="P30" i="4" s="1"/>
  <c r="O32" i="4"/>
  <c r="P32" i="4" s="1"/>
  <c r="O31" i="4"/>
  <c r="P31" i="4" s="1"/>
  <c r="O36" i="4"/>
  <c r="P36" i="4" s="1"/>
  <c r="O38" i="4"/>
  <c r="P38" i="4" s="1"/>
  <c r="O39" i="4"/>
  <c r="P39" i="4" s="1"/>
  <c r="O40" i="4"/>
  <c r="P40" i="4" s="1"/>
  <c r="O43" i="4"/>
  <c r="P43" i="4" s="1"/>
  <c r="O44" i="4"/>
  <c r="P44" i="4" s="1"/>
  <c r="O45" i="4"/>
  <c r="P45" i="4" s="1"/>
  <c r="O46" i="4"/>
  <c r="P46" i="4" s="1"/>
  <c r="O47" i="4"/>
  <c r="P47" i="4" s="1"/>
  <c r="O49" i="4"/>
  <c r="P49" i="4" s="1"/>
  <c r="O50" i="4"/>
  <c r="P50" i="4" s="1"/>
  <c r="O55" i="4"/>
  <c r="P55" i="4" s="1"/>
  <c r="O57" i="4"/>
  <c r="P57" i="4" s="1"/>
  <c r="O58" i="4"/>
  <c r="P58" i="4" s="1"/>
  <c r="O59" i="4"/>
  <c r="P59" i="4" s="1"/>
  <c r="O62" i="4"/>
  <c r="P62" i="4" s="1"/>
  <c r="O63" i="4"/>
  <c r="P63" i="4" s="1"/>
  <c r="O64" i="4"/>
  <c r="P64" i="4" s="1"/>
  <c r="O65" i="4"/>
  <c r="P65" i="4" s="1"/>
  <c r="O66" i="4"/>
  <c r="P66" i="4" s="1"/>
  <c r="O68" i="4"/>
  <c r="P68" i="4" s="1"/>
  <c r="O53" i="4"/>
  <c r="P53" i="4" s="1"/>
  <c r="O51" i="4"/>
  <c r="P51" i="4" s="1"/>
  <c r="Q51" i="4" s="1"/>
  <c r="S51" i="4" s="1"/>
  <c r="T51" i="4" s="1"/>
  <c r="G55" i="6" s="1"/>
  <c r="AY55" i="6" s="1"/>
  <c r="T67" i="4"/>
  <c r="G71" i="6" s="1"/>
  <c r="AY71" i="6" s="1"/>
  <c r="P2" i="4"/>
  <c r="BQ286" i="3"/>
  <c r="BQ289" i="3"/>
  <c r="BQ288" i="3"/>
  <c r="BQ287" i="3"/>
  <c r="BQ290" i="3"/>
  <c r="H268" i="3"/>
  <c r="I268" i="3"/>
  <c r="J268" i="3"/>
  <c r="K268" i="3"/>
  <c r="L268" i="3"/>
  <c r="M268" i="3"/>
  <c r="N268" i="3"/>
  <c r="O268" i="3"/>
  <c r="P268" i="3"/>
  <c r="Q268" i="3"/>
  <c r="R268" i="3"/>
  <c r="S268" i="3"/>
  <c r="T268" i="3"/>
  <c r="U268" i="3"/>
  <c r="V268" i="3"/>
  <c r="W268" i="3"/>
  <c r="X268" i="3"/>
  <c r="Y268" i="3"/>
  <c r="Z268" i="3"/>
  <c r="AA268" i="3"/>
  <c r="AB268" i="3"/>
  <c r="AE268" i="3"/>
  <c r="AF268" i="3"/>
  <c r="AP268" i="3"/>
  <c r="AQ268" i="3"/>
  <c r="AR268" i="3"/>
  <c r="AS268" i="3"/>
  <c r="AT268" i="3"/>
  <c r="AU268" i="3"/>
  <c r="AV268" i="3"/>
  <c r="AY268" i="3"/>
  <c r="AZ268" i="3"/>
  <c r="BA268" i="3"/>
  <c r="BB268" i="3"/>
  <c r="BC268" i="3"/>
  <c r="BD268" i="3"/>
  <c r="BE268" i="3"/>
  <c r="BF268" i="3"/>
  <c r="BG268" i="3"/>
  <c r="BH268" i="3"/>
  <c r="BI268" i="3"/>
  <c r="BJ268" i="3"/>
  <c r="BK268" i="3"/>
  <c r="BL268" i="3"/>
  <c r="G268" i="3"/>
  <c r="BM100" i="3"/>
  <c r="H218" i="3"/>
  <c r="H219" i="3" s="1"/>
  <c r="H220" i="3" s="1"/>
  <c r="I218" i="3"/>
  <c r="I219" i="3" s="1"/>
  <c r="I220" i="3" s="1"/>
  <c r="J218" i="3"/>
  <c r="J219" i="3" s="1"/>
  <c r="J220" i="3" s="1"/>
  <c r="K218" i="3"/>
  <c r="K219" i="3" s="1"/>
  <c r="K220" i="3" s="1"/>
  <c r="L218" i="3"/>
  <c r="L219" i="3" s="1"/>
  <c r="L220" i="3" s="1"/>
  <c r="M218" i="3"/>
  <c r="N218" i="3"/>
  <c r="N219" i="3" s="1"/>
  <c r="N220" i="3" s="1"/>
  <c r="O218" i="3"/>
  <c r="O219" i="3" s="1"/>
  <c r="O220" i="3" s="1"/>
  <c r="P218" i="3"/>
  <c r="P219" i="3" s="1"/>
  <c r="P220" i="3" s="1"/>
  <c r="Q218" i="3"/>
  <c r="Q219" i="3" s="1"/>
  <c r="Q220" i="3" s="1"/>
  <c r="R218" i="3"/>
  <c r="R219" i="3" s="1"/>
  <c r="R220" i="3" s="1"/>
  <c r="S218" i="3"/>
  <c r="S219" i="3" s="1"/>
  <c r="S220" i="3" s="1"/>
  <c r="T218" i="3"/>
  <c r="T219" i="3" s="1"/>
  <c r="T220" i="3" s="1"/>
  <c r="U218" i="3"/>
  <c r="U219" i="3" s="1"/>
  <c r="U220" i="3" s="1"/>
  <c r="V218" i="3"/>
  <c r="V219" i="3" s="1"/>
  <c r="V220" i="3" s="1"/>
  <c r="W218" i="3"/>
  <c r="W219" i="3" s="1"/>
  <c r="W220" i="3" s="1"/>
  <c r="X218" i="3"/>
  <c r="X219" i="3" s="1"/>
  <c r="X220" i="3" s="1"/>
  <c r="Y218" i="3"/>
  <c r="Y219" i="3" s="1"/>
  <c r="Y220" i="3" s="1"/>
  <c r="Z218" i="3"/>
  <c r="Z219" i="3" s="1"/>
  <c r="Z220" i="3" s="1"/>
  <c r="AA218" i="3"/>
  <c r="AA219" i="3" s="1"/>
  <c r="AA220" i="3" s="1"/>
  <c r="AB218" i="3"/>
  <c r="AB219" i="3" s="1"/>
  <c r="AB220" i="3" s="1"/>
  <c r="AF218" i="3"/>
  <c r="AF219" i="3" s="1"/>
  <c r="AF220" i="3" s="1"/>
  <c r="AP218" i="3"/>
  <c r="AP219" i="3" s="1"/>
  <c r="AP220" i="3" s="1"/>
  <c r="AQ218" i="3"/>
  <c r="AQ219" i="3" s="1"/>
  <c r="AQ220" i="3" s="1"/>
  <c r="AR218" i="3"/>
  <c r="AR219" i="3" s="1"/>
  <c r="AR220" i="3" s="1"/>
  <c r="AS218" i="3"/>
  <c r="AS219" i="3" s="1"/>
  <c r="AS220" i="3" s="1"/>
  <c r="AT218" i="3"/>
  <c r="AT219" i="3" s="1"/>
  <c r="AT220" i="3" s="1"/>
  <c r="AU218" i="3"/>
  <c r="AU219" i="3" s="1"/>
  <c r="AU220" i="3" s="1"/>
  <c r="AV218" i="3"/>
  <c r="AV219" i="3" s="1"/>
  <c r="AV220" i="3" s="1"/>
  <c r="AY218" i="3"/>
  <c r="AY219" i="3" s="1"/>
  <c r="AY220" i="3" s="1"/>
  <c r="AY90" i="3" s="1"/>
  <c r="AZ218" i="3"/>
  <c r="AZ219" i="3" s="1"/>
  <c r="AZ220" i="3" s="1"/>
  <c r="AZ90" i="3" s="1"/>
  <c r="BA218" i="3"/>
  <c r="BA219" i="3" s="1"/>
  <c r="BA220" i="3" s="1"/>
  <c r="BA90" i="3" s="1"/>
  <c r="BB218" i="3"/>
  <c r="BB219" i="3" s="1"/>
  <c r="BB220" i="3" s="1"/>
  <c r="BB90" i="3" s="1"/>
  <c r="BC218" i="3"/>
  <c r="BC219" i="3" s="1"/>
  <c r="BC220" i="3" s="1"/>
  <c r="BC90" i="3" s="1"/>
  <c r="BD218" i="3"/>
  <c r="BD219" i="3" s="1"/>
  <c r="BD220" i="3" s="1"/>
  <c r="BD90" i="3" s="1"/>
  <c r="BE218" i="3"/>
  <c r="BE219" i="3" s="1"/>
  <c r="BE220" i="3" s="1"/>
  <c r="BE90" i="3" s="1"/>
  <c r="BF218" i="3"/>
  <c r="BF219" i="3" s="1"/>
  <c r="BF220" i="3" s="1"/>
  <c r="BF90" i="3" s="1"/>
  <c r="BG218" i="3"/>
  <c r="BG219" i="3" s="1"/>
  <c r="BG220" i="3" s="1"/>
  <c r="BG90" i="3" s="1"/>
  <c r="BH218" i="3"/>
  <c r="BH219" i="3" s="1"/>
  <c r="BH220" i="3" s="1"/>
  <c r="BH90" i="3" s="1"/>
  <c r="BI218" i="3"/>
  <c r="BI219" i="3" s="1"/>
  <c r="BI220" i="3" s="1"/>
  <c r="BI90" i="3" s="1"/>
  <c r="BJ218" i="3"/>
  <c r="BJ219" i="3" s="1"/>
  <c r="BJ220" i="3" s="1"/>
  <c r="BJ90" i="3" s="1"/>
  <c r="BK218" i="3"/>
  <c r="BK219" i="3" s="1"/>
  <c r="BK220" i="3" s="1"/>
  <c r="BK90" i="3" s="1"/>
  <c r="BL218" i="3"/>
  <c r="BL219" i="3" s="1"/>
  <c r="BL220" i="3" s="1"/>
  <c r="BL90" i="3" s="1"/>
  <c r="G218" i="3"/>
  <c r="BO217" i="3"/>
  <c r="H223" i="3"/>
  <c r="H224" i="3" s="1"/>
  <c r="H225" i="3" s="1"/>
  <c r="I223" i="3"/>
  <c r="I224" i="3" s="1"/>
  <c r="I225" i="3" s="1"/>
  <c r="J223" i="3"/>
  <c r="J224" i="3" s="1"/>
  <c r="J225" i="3" s="1"/>
  <c r="K223" i="3"/>
  <c r="K224" i="3" s="1"/>
  <c r="K225" i="3" s="1"/>
  <c r="L223" i="3"/>
  <c r="L224" i="3" s="1"/>
  <c r="L225" i="3" s="1"/>
  <c r="M223" i="3"/>
  <c r="N223" i="3"/>
  <c r="N224" i="3" s="1"/>
  <c r="N225" i="3" s="1"/>
  <c r="O223" i="3"/>
  <c r="O224" i="3" s="1"/>
  <c r="O225" i="3" s="1"/>
  <c r="P223" i="3"/>
  <c r="P224" i="3" s="1"/>
  <c r="P225" i="3" s="1"/>
  <c r="Q223" i="3"/>
  <c r="Q224" i="3" s="1"/>
  <c r="Q225" i="3" s="1"/>
  <c r="R223" i="3"/>
  <c r="R224" i="3" s="1"/>
  <c r="R225" i="3" s="1"/>
  <c r="S223" i="3"/>
  <c r="S224" i="3" s="1"/>
  <c r="S225" i="3" s="1"/>
  <c r="T223" i="3"/>
  <c r="T224" i="3" s="1"/>
  <c r="T225" i="3" s="1"/>
  <c r="U223" i="3"/>
  <c r="U224" i="3" s="1"/>
  <c r="U225" i="3" s="1"/>
  <c r="V223" i="3"/>
  <c r="V224" i="3" s="1"/>
  <c r="V225" i="3" s="1"/>
  <c r="W223" i="3"/>
  <c r="W224" i="3" s="1"/>
  <c r="W225" i="3" s="1"/>
  <c r="X223" i="3"/>
  <c r="X224" i="3" s="1"/>
  <c r="X225" i="3" s="1"/>
  <c r="Y223" i="3"/>
  <c r="Y224" i="3" s="1"/>
  <c r="Y225" i="3" s="1"/>
  <c r="Z223" i="3"/>
  <c r="Z224" i="3" s="1"/>
  <c r="Z225" i="3" s="1"/>
  <c r="AA223" i="3"/>
  <c r="AA224" i="3" s="1"/>
  <c r="AA225" i="3" s="1"/>
  <c r="AB223" i="3"/>
  <c r="AB224" i="3" s="1"/>
  <c r="AB225" i="3" s="1"/>
  <c r="AF223" i="3"/>
  <c r="AF224" i="3" s="1"/>
  <c r="AF225" i="3" s="1"/>
  <c r="AP223" i="3"/>
  <c r="AP224" i="3" s="1"/>
  <c r="AP225" i="3" s="1"/>
  <c r="AQ223" i="3"/>
  <c r="AQ224" i="3" s="1"/>
  <c r="AQ225" i="3" s="1"/>
  <c r="AR223" i="3"/>
  <c r="AR224" i="3" s="1"/>
  <c r="AR225" i="3" s="1"/>
  <c r="AS223" i="3"/>
  <c r="AS224" i="3" s="1"/>
  <c r="AS225" i="3" s="1"/>
  <c r="AT223" i="3"/>
  <c r="AT224" i="3" s="1"/>
  <c r="AT225" i="3" s="1"/>
  <c r="AU223" i="3"/>
  <c r="AU224" i="3" s="1"/>
  <c r="AU225" i="3" s="1"/>
  <c r="AV223" i="3"/>
  <c r="AV224" i="3" s="1"/>
  <c r="AV225" i="3" s="1"/>
  <c r="AY223" i="3"/>
  <c r="AY224" i="3" s="1"/>
  <c r="AY225" i="3" s="1"/>
  <c r="AZ223" i="3"/>
  <c r="AZ224" i="3" s="1"/>
  <c r="AZ225" i="3" s="1"/>
  <c r="BA223" i="3"/>
  <c r="BA224" i="3" s="1"/>
  <c r="BA225" i="3" s="1"/>
  <c r="BA98" i="3" s="1"/>
  <c r="BB223" i="3"/>
  <c r="BB224" i="3" s="1"/>
  <c r="BB225" i="3" s="1"/>
  <c r="BB98" i="3" s="1"/>
  <c r="BC223" i="3"/>
  <c r="BC224" i="3" s="1"/>
  <c r="BC225" i="3" s="1"/>
  <c r="BC98" i="3" s="1"/>
  <c r="BD223" i="3"/>
  <c r="BD224" i="3" s="1"/>
  <c r="BD225" i="3" s="1"/>
  <c r="BE223" i="3"/>
  <c r="BE224" i="3" s="1"/>
  <c r="BE225" i="3" s="1"/>
  <c r="BF223" i="3"/>
  <c r="BF224" i="3" s="1"/>
  <c r="BF225" i="3" s="1"/>
  <c r="BG223" i="3"/>
  <c r="BG224" i="3" s="1"/>
  <c r="BG225" i="3" s="1"/>
  <c r="BH223" i="3"/>
  <c r="BH224" i="3" s="1"/>
  <c r="BH225" i="3" s="1"/>
  <c r="BI223" i="3"/>
  <c r="BI224" i="3" s="1"/>
  <c r="BI225" i="3" s="1"/>
  <c r="BJ223" i="3"/>
  <c r="BJ224" i="3" s="1"/>
  <c r="BJ225" i="3" s="1"/>
  <c r="BJ98" i="3" s="1"/>
  <c r="BK223" i="3"/>
  <c r="BK224" i="3" s="1"/>
  <c r="BK225" i="3" s="1"/>
  <c r="BK98" i="3" s="1"/>
  <c r="BL223" i="3"/>
  <c r="BL224" i="3" s="1"/>
  <c r="BL225" i="3" s="1"/>
  <c r="BL98" i="3" s="1"/>
  <c r="G223" i="3"/>
  <c r="BO222" i="3"/>
  <c r="H228" i="3"/>
  <c r="H229" i="3" s="1"/>
  <c r="H230" i="3" s="1"/>
  <c r="I228" i="3"/>
  <c r="I229" i="3" s="1"/>
  <c r="I230" i="3" s="1"/>
  <c r="J228" i="3"/>
  <c r="J229" i="3" s="1"/>
  <c r="J230" i="3" s="1"/>
  <c r="K228" i="3"/>
  <c r="K229" i="3" s="1"/>
  <c r="K230" i="3" s="1"/>
  <c r="L228" i="3"/>
  <c r="L229" i="3" s="1"/>
  <c r="L230" i="3" s="1"/>
  <c r="M228" i="3"/>
  <c r="N228" i="3"/>
  <c r="N229" i="3" s="1"/>
  <c r="N230" i="3" s="1"/>
  <c r="O228" i="3"/>
  <c r="O229" i="3" s="1"/>
  <c r="O230" i="3" s="1"/>
  <c r="P228" i="3"/>
  <c r="P229" i="3" s="1"/>
  <c r="P230" i="3" s="1"/>
  <c r="Q228" i="3"/>
  <c r="Q229" i="3" s="1"/>
  <c r="Q230" i="3" s="1"/>
  <c r="R228" i="3"/>
  <c r="R229" i="3" s="1"/>
  <c r="R230" i="3" s="1"/>
  <c r="S228" i="3"/>
  <c r="S229" i="3" s="1"/>
  <c r="S230" i="3" s="1"/>
  <c r="T228" i="3"/>
  <c r="T229" i="3" s="1"/>
  <c r="T230" i="3" s="1"/>
  <c r="U228" i="3"/>
  <c r="U229" i="3" s="1"/>
  <c r="U230" i="3" s="1"/>
  <c r="V228" i="3"/>
  <c r="V229" i="3" s="1"/>
  <c r="V230" i="3" s="1"/>
  <c r="W228" i="3"/>
  <c r="W229" i="3" s="1"/>
  <c r="W230" i="3" s="1"/>
  <c r="X228" i="3"/>
  <c r="X229" i="3" s="1"/>
  <c r="X230" i="3" s="1"/>
  <c r="Y228" i="3"/>
  <c r="Y229" i="3" s="1"/>
  <c r="Y230" i="3" s="1"/>
  <c r="Z228" i="3"/>
  <c r="Z229" i="3" s="1"/>
  <c r="Z230" i="3" s="1"/>
  <c r="AA228" i="3"/>
  <c r="AA229" i="3" s="1"/>
  <c r="AA230" i="3" s="1"/>
  <c r="AB228" i="3"/>
  <c r="AB229" i="3" s="1"/>
  <c r="AB230" i="3" s="1"/>
  <c r="AF228" i="3"/>
  <c r="AF229" i="3" s="1"/>
  <c r="AF230" i="3" s="1"/>
  <c r="AP228" i="3"/>
  <c r="AP229" i="3" s="1"/>
  <c r="AP230" i="3" s="1"/>
  <c r="AQ228" i="3"/>
  <c r="AQ229" i="3" s="1"/>
  <c r="AQ230" i="3" s="1"/>
  <c r="AR228" i="3"/>
  <c r="AR229" i="3" s="1"/>
  <c r="AR230" i="3" s="1"/>
  <c r="AS228" i="3"/>
  <c r="AS229" i="3" s="1"/>
  <c r="AS230" i="3" s="1"/>
  <c r="AT228" i="3"/>
  <c r="AT229" i="3" s="1"/>
  <c r="AT230" i="3" s="1"/>
  <c r="AU228" i="3"/>
  <c r="AU229" i="3" s="1"/>
  <c r="AU230" i="3" s="1"/>
  <c r="AV228" i="3"/>
  <c r="AV229" i="3" s="1"/>
  <c r="AV230" i="3" s="1"/>
  <c r="AY228" i="3"/>
  <c r="AY229" i="3" s="1"/>
  <c r="AY230" i="3" s="1"/>
  <c r="AZ228" i="3"/>
  <c r="AZ229" i="3" s="1"/>
  <c r="AZ230" i="3" s="1"/>
  <c r="BA228" i="3"/>
  <c r="BA229" i="3" s="1"/>
  <c r="BA230" i="3" s="1"/>
  <c r="BA102" i="3" s="1"/>
  <c r="BB228" i="3"/>
  <c r="BB229" i="3" s="1"/>
  <c r="BB230" i="3" s="1"/>
  <c r="BB102" i="3" s="1"/>
  <c r="BC228" i="3"/>
  <c r="BC229" i="3" s="1"/>
  <c r="BC230" i="3" s="1"/>
  <c r="BC102" i="3" s="1"/>
  <c r="BD228" i="3"/>
  <c r="BD229" i="3" s="1"/>
  <c r="BD230" i="3" s="1"/>
  <c r="BD102" i="3" s="1"/>
  <c r="BE228" i="3"/>
  <c r="BE229" i="3" s="1"/>
  <c r="BE230" i="3" s="1"/>
  <c r="BF228" i="3"/>
  <c r="BF229" i="3" s="1"/>
  <c r="BF230" i="3" s="1"/>
  <c r="BG228" i="3"/>
  <c r="BG229" i="3" s="1"/>
  <c r="BG230" i="3" s="1"/>
  <c r="BH228" i="3"/>
  <c r="BH229" i="3" s="1"/>
  <c r="BH230" i="3" s="1"/>
  <c r="BI228" i="3"/>
  <c r="BI229" i="3" s="1"/>
  <c r="BI230" i="3" s="1"/>
  <c r="BJ228" i="3"/>
  <c r="BJ229" i="3" s="1"/>
  <c r="BJ230" i="3" s="1"/>
  <c r="BJ102" i="3" s="1"/>
  <c r="BK228" i="3"/>
  <c r="BK229" i="3" s="1"/>
  <c r="BK230" i="3" s="1"/>
  <c r="BK102" i="3" s="1"/>
  <c r="BL228" i="3"/>
  <c r="BL229" i="3" s="1"/>
  <c r="BL230" i="3" s="1"/>
  <c r="BL102" i="3" s="1"/>
  <c r="G228" i="3"/>
  <c r="BO227" i="3"/>
  <c r="H236" i="3"/>
  <c r="H239" i="3" s="1"/>
  <c r="H242" i="3" s="1"/>
  <c r="I236" i="3"/>
  <c r="I239" i="3" s="1"/>
  <c r="I242" i="3" s="1"/>
  <c r="J236" i="3"/>
  <c r="J239" i="3" s="1"/>
  <c r="J242" i="3" s="1"/>
  <c r="K236" i="3"/>
  <c r="K239" i="3" s="1"/>
  <c r="K242" i="3" s="1"/>
  <c r="L236" i="3"/>
  <c r="L239" i="3" s="1"/>
  <c r="L242" i="3" s="1"/>
  <c r="M236" i="3"/>
  <c r="N236" i="3"/>
  <c r="N239" i="3" s="1"/>
  <c r="N242" i="3" s="1"/>
  <c r="O236" i="3"/>
  <c r="O239" i="3" s="1"/>
  <c r="O242" i="3" s="1"/>
  <c r="P236" i="3"/>
  <c r="P239" i="3" s="1"/>
  <c r="P242" i="3" s="1"/>
  <c r="Q236" i="3"/>
  <c r="Q239" i="3" s="1"/>
  <c r="Q242" i="3" s="1"/>
  <c r="R236" i="3"/>
  <c r="R239" i="3" s="1"/>
  <c r="R242" i="3" s="1"/>
  <c r="S236" i="3"/>
  <c r="S239" i="3" s="1"/>
  <c r="S242" i="3" s="1"/>
  <c r="T236" i="3"/>
  <c r="T239" i="3" s="1"/>
  <c r="T242" i="3" s="1"/>
  <c r="U236" i="3"/>
  <c r="U239" i="3" s="1"/>
  <c r="U242" i="3" s="1"/>
  <c r="V236" i="3"/>
  <c r="V239" i="3" s="1"/>
  <c r="V242" i="3" s="1"/>
  <c r="W236" i="3"/>
  <c r="W239" i="3" s="1"/>
  <c r="W242" i="3" s="1"/>
  <c r="X236" i="3"/>
  <c r="X239" i="3" s="1"/>
  <c r="X242" i="3" s="1"/>
  <c r="Y236" i="3"/>
  <c r="Y239" i="3" s="1"/>
  <c r="Y242" i="3" s="1"/>
  <c r="Z236" i="3"/>
  <c r="Z239" i="3" s="1"/>
  <c r="Z242" i="3" s="1"/>
  <c r="AA236" i="3"/>
  <c r="AA239" i="3" s="1"/>
  <c r="AA242" i="3" s="1"/>
  <c r="AB236" i="3"/>
  <c r="AB239" i="3" s="1"/>
  <c r="AB242" i="3" s="1"/>
  <c r="AF236" i="3"/>
  <c r="AF239" i="3" s="1"/>
  <c r="AF242" i="3" s="1"/>
  <c r="AP236" i="3"/>
  <c r="AP239" i="3" s="1"/>
  <c r="AP242" i="3" s="1"/>
  <c r="AQ236" i="3"/>
  <c r="AQ239" i="3" s="1"/>
  <c r="AQ242" i="3" s="1"/>
  <c r="AR236" i="3"/>
  <c r="AR239" i="3" s="1"/>
  <c r="AR242" i="3" s="1"/>
  <c r="AS236" i="3"/>
  <c r="AS239" i="3" s="1"/>
  <c r="AS242" i="3" s="1"/>
  <c r="AT236" i="3"/>
  <c r="AT239" i="3" s="1"/>
  <c r="AT242" i="3" s="1"/>
  <c r="AU236" i="3"/>
  <c r="AU239" i="3" s="1"/>
  <c r="AU242" i="3" s="1"/>
  <c r="AV236" i="3"/>
  <c r="AV239" i="3" s="1"/>
  <c r="AV242" i="3" s="1"/>
  <c r="AY236" i="3"/>
  <c r="AY239" i="3" s="1"/>
  <c r="AY242" i="3" s="1"/>
  <c r="AZ236" i="3"/>
  <c r="AZ239" i="3" s="1"/>
  <c r="AZ242" i="3" s="1"/>
  <c r="BA236" i="3"/>
  <c r="BA239" i="3" s="1"/>
  <c r="BA242" i="3" s="1"/>
  <c r="BA107" i="3" s="1"/>
  <c r="BB236" i="3"/>
  <c r="BB239" i="3" s="1"/>
  <c r="BB242" i="3" s="1"/>
  <c r="BB107" i="3" s="1"/>
  <c r="BC236" i="3"/>
  <c r="BC239" i="3" s="1"/>
  <c r="BC242" i="3" s="1"/>
  <c r="BC107" i="3" s="1"/>
  <c r="BD236" i="3"/>
  <c r="BD239" i="3" s="1"/>
  <c r="BD242" i="3" s="1"/>
  <c r="BD107" i="3" s="1"/>
  <c r="BE236" i="3"/>
  <c r="BE239" i="3" s="1"/>
  <c r="BE242" i="3" s="1"/>
  <c r="BF236" i="3"/>
  <c r="BF239" i="3" s="1"/>
  <c r="BF242" i="3" s="1"/>
  <c r="BG236" i="3"/>
  <c r="BG239" i="3" s="1"/>
  <c r="BG242" i="3" s="1"/>
  <c r="BH236" i="3"/>
  <c r="BH239" i="3" s="1"/>
  <c r="BH242" i="3" s="1"/>
  <c r="BI236" i="3"/>
  <c r="BI239" i="3" s="1"/>
  <c r="BI242" i="3" s="1"/>
  <c r="BJ236" i="3"/>
  <c r="BJ239" i="3" s="1"/>
  <c r="BJ242" i="3" s="1"/>
  <c r="BJ107" i="3" s="1"/>
  <c r="BK236" i="3"/>
  <c r="BK239" i="3" s="1"/>
  <c r="BK242" i="3" s="1"/>
  <c r="BK107" i="3" s="1"/>
  <c r="BL236" i="3"/>
  <c r="BL239" i="3" s="1"/>
  <c r="BL242" i="3" s="1"/>
  <c r="BL107" i="3" s="1"/>
  <c r="G236" i="3"/>
  <c r="BO233" i="3"/>
  <c r="H235" i="3"/>
  <c r="H238" i="3" s="1"/>
  <c r="H241" i="3" s="1"/>
  <c r="I235" i="3"/>
  <c r="I238" i="3" s="1"/>
  <c r="I241" i="3" s="1"/>
  <c r="J235" i="3"/>
  <c r="J238" i="3" s="1"/>
  <c r="J241" i="3" s="1"/>
  <c r="K235" i="3"/>
  <c r="K238" i="3" s="1"/>
  <c r="K241" i="3" s="1"/>
  <c r="L235" i="3"/>
  <c r="L238" i="3" s="1"/>
  <c r="L241" i="3" s="1"/>
  <c r="M235" i="3"/>
  <c r="N235" i="3"/>
  <c r="N238" i="3" s="1"/>
  <c r="N241" i="3" s="1"/>
  <c r="O235" i="3"/>
  <c r="O238" i="3" s="1"/>
  <c r="O241" i="3" s="1"/>
  <c r="P235" i="3"/>
  <c r="P238" i="3" s="1"/>
  <c r="P241" i="3" s="1"/>
  <c r="Q235" i="3"/>
  <c r="Q238" i="3" s="1"/>
  <c r="Q241" i="3" s="1"/>
  <c r="R235" i="3"/>
  <c r="R238" i="3" s="1"/>
  <c r="R241" i="3" s="1"/>
  <c r="S235" i="3"/>
  <c r="S238" i="3" s="1"/>
  <c r="S241" i="3" s="1"/>
  <c r="T235" i="3"/>
  <c r="T238" i="3" s="1"/>
  <c r="T241" i="3" s="1"/>
  <c r="U235" i="3"/>
  <c r="U238" i="3" s="1"/>
  <c r="U241" i="3" s="1"/>
  <c r="V235" i="3"/>
  <c r="V238" i="3" s="1"/>
  <c r="V241" i="3" s="1"/>
  <c r="W235" i="3"/>
  <c r="W238" i="3" s="1"/>
  <c r="W241" i="3" s="1"/>
  <c r="X235" i="3"/>
  <c r="X238" i="3" s="1"/>
  <c r="X241" i="3" s="1"/>
  <c r="Y235" i="3"/>
  <c r="Y238" i="3" s="1"/>
  <c r="Y241" i="3" s="1"/>
  <c r="Z235" i="3"/>
  <c r="Z238" i="3" s="1"/>
  <c r="Z241" i="3" s="1"/>
  <c r="AA235" i="3"/>
  <c r="AA238" i="3" s="1"/>
  <c r="AA241" i="3" s="1"/>
  <c r="AB235" i="3"/>
  <c r="AB238" i="3" s="1"/>
  <c r="AB241" i="3" s="1"/>
  <c r="AF235" i="3"/>
  <c r="AF238" i="3" s="1"/>
  <c r="AF241" i="3" s="1"/>
  <c r="AP235" i="3"/>
  <c r="AP238" i="3" s="1"/>
  <c r="AP241" i="3" s="1"/>
  <c r="AQ235" i="3"/>
  <c r="AQ238" i="3" s="1"/>
  <c r="AQ241" i="3" s="1"/>
  <c r="AR235" i="3"/>
  <c r="AR238" i="3" s="1"/>
  <c r="AR241" i="3" s="1"/>
  <c r="AS235" i="3"/>
  <c r="AS238" i="3" s="1"/>
  <c r="AS241" i="3" s="1"/>
  <c r="AT235" i="3"/>
  <c r="AT238" i="3" s="1"/>
  <c r="AT241" i="3" s="1"/>
  <c r="AU235" i="3"/>
  <c r="AU238" i="3" s="1"/>
  <c r="AU241" i="3" s="1"/>
  <c r="AV235" i="3"/>
  <c r="AV238" i="3" s="1"/>
  <c r="AV241" i="3" s="1"/>
  <c r="AY235" i="3"/>
  <c r="AY238" i="3" s="1"/>
  <c r="AY241" i="3" s="1"/>
  <c r="AY106" i="3" s="1"/>
  <c r="AZ235" i="3"/>
  <c r="AZ238" i="3" s="1"/>
  <c r="AZ241" i="3" s="1"/>
  <c r="AZ106" i="3" s="1"/>
  <c r="BA235" i="3"/>
  <c r="BA238" i="3" s="1"/>
  <c r="BA241" i="3" s="1"/>
  <c r="BA106" i="3" s="1"/>
  <c r="BB235" i="3"/>
  <c r="BB238" i="3" s="1"/>
  <c r="BB241" i="3" s="1"/>
  <c r="BB106" i="3" s="1"/>
  <c r="BC235" i="3"/>
  <c r="BC238" i="3" s="1"/>
  <c r="BC241" i="3" s="1"/>
  <c r="BC106" i="3" s="1"/>
  <c r="BD235" i="3"/>
  <c r="BD238" i="3" s="1"/>
  <c r="BD241" i="3" s="1"/>
  <c r="BD106" i="3" s="1"/>
  <c r="BE235" i="3"/>
  <c r="BE238" i="3" s="1"/>
  <c r="BE241" i="3" s="1"/>
  <c r="BF235" i="3"/>
  <c r="BF238" i="3" s="1"/>
  <c r="BF241" i="3" s="1"/>
  <c r="BG235" i="3"/>
  <c r="BG238" i="3" s="1"/>
  <c r="BG241" i="3" s="1"/>
  <c r="BG106" i="3" s="1"/>
  <c r="BH235" i="3"/>
  <c r="BH238" i="3" s="1"/>
  <c r="BH241" i="3" s="1"/>
  <c r="BI235" i="3"/>
  <c r="BI238" i="3" s="1"/>
  <c r="BI241" i="3" s="1"/>
  <c r="BI106" i="3" s="1"/>
  <c r="BJ235" i="3"/>
  <c r="BJ238" i="3" s="1"/>
  <c r="BJ241" i="3" s="1"/>
  <c r="BJ106" i="3" s="1"/>
  <c r="BK235" i="3"/>
  <c r="BK238" i="3" s="1"/>
  <c r="BK241" i="3" s="1"/>
  <c r="BK106" i="3" s="1"/>
  <c r="BL235" i="3"/>
  <c r="BL238" i="3" s="1"/>
  <c r="BL241" i="3" s="1"/>
  <c r="BL106" i="3" s="1"/>
  <c r="G235" i="3"/>
  <c r="BO232" i="3"/>
  <c r="H248" i="3"/>
  <c r="H251" i="3" s="1"/>
  <c r="H254" i="3" s="1"/>
  <c r="I248" i="3"/>
  <c r="I251" i="3" s="1"/>
  <c r="I254" i="3" s="1"/>
  <c r="J248" i="3"/>
  <c r="J251" i="3" s="1"/>
  <c r="J254" i="3" s="1"/>
  <c r="K248" i="3"/>
  <c r="K251" i="3" s="1"/>
  <c r="K254" i="3" s="1"/>
  <c r="L248" i="3"/>
  <c r="L251" i="3" s="1"/>
  <c r="L254" i="3" s="1"/>
  <c r="M248" i="3"/>
  <c r="N248" i="3"/>
  <c r="N251" i="3" s="1"/>
  <c r="N254" i="3" s="1"/>
  <c r="O248" i="3"/>
  <c r="O251" i="3" s="1"/>
  <c r="O254" i="3" s="1"/>
  <c r="P248" i="3"/>
  <c r="P251" i="3" s="1"/>
  <c r="P254" i="3" s="1"/>
  <c r="Q248" i="3"/>
  <c r="Q251" i="3" s="1"/>
  <c r="Q254" i="3" s="1"/>
  <c r="R248" i="3"/>
  <c r="R251" i="3" s="1"/>
  <c r="R254" i="3" s="1"/>
  <c r="S248" i="3"/>
  <c r="S251" i="3" s="1"/>
  <c r="S254" i="3" s="1"/>
  <c r="T248" i="3"/>
  <c r="T251" i="3" s="1"/>
  <c r="T254" i="3" s="1"/>
  <c r="U248" i="3"/>
  <c r="U251" i="3" s="1"/>
  <c r="U254" i="3" s="1"/>
  <c r="V248" i="3"/>
  <c r="V251" i="3" s="1"/>
  <c r="V254" i="3" s="1"/>
  <c r="W248" i="3"/>
  <c r="W251" i="3" s="1"/>
  <c r="W254" i="3" s="1"/>
  <c r="X248" i="3"/>
  <c r="X251" i="3" s="1"/>
  <c r="X254" i="3" s="1"/>
  <c r="Y248" i="3"/>
  <c r="Y251" i="3" s="1"/>
  <c r="Y254" i="3" s="1"/>
  <c r="Z248" i="3"/>
  <c r="Z251" i="3" s="1"/>
  <c r="Z254" i="3" s="1"/>
  <c r="AA248" i="3"/>
  <c r="AA251" i="3" s="1"/>
  <c r="AA254" i="3" s="1"/>
  <c r="AB248" i="3"/>
  <c r="AB251" i="3" s="1"/>
  <c r="AB254" i="3" s="1"/>
  <c r="AF248" i="3"/>
  <c r="AF251" i="3" s="1"/>
  <c r="AF254" i="3" s="1"/>
  <c r="AP248" i="3"/>
  <c r="AP251" i="3" s="1"/>
  <c r="AP254" i="3" s="1"/>
  <c r="AQ248" i="3"/>
  <c r="AQ251" i="3" s="1"/>
  <c r="AQ254" i="3" s="1"/>
  <c r="AR248" i="3"/>
  <c r="AR251" i="3" s="1"/>
  <c r="AR254" i="3" s="1"/>
  <c r="AS248" i="3"/>
  <c r="AS251" i="3" s="1"/>
  <c r="AS254" i="3" s="1"/>
  <c r="AT248" i="3"/>
  <c r="AT251" i="3" s="1"/>
  <c r="AT254" i="3" s="1"/>
  <c r="AU248" i="3"/>
  <c r="AU251" i="3" s="1"/>
  <c r="AU254" i="3" s="1"/>
  <c r="AV248" i="3"/>
  <c r="AV251" i="3" s="1"/>
  <c r="AV254" i="3" s="1"/>
  <c r="AY248" i="3"/>
  <c r="AY251" i="3" s="1"/>
  <c r="AY254" i="3" s="1"/>
  <c r="BM112" i="3" s="1"/>
  <c r="AZ248" i="3"/>
  <c r="AZ251" i="3" s="1"/>
  <c r="AZ254" i="3" s="1"/>
  <c r="AZ113" i="3" s="1"/>
  <c r="BA248" i="3"/>
  <c r="BA251" i="3" s="1"/>
  <c r="BA254" i="3" s="1"/>
  <c r="BA113" i="3" s="1"/>
  <c r="BB248" i="3"/>
  <c r="BB251" i="3" s="1"/>
  <c r="BB254" i="3" s="1"/>
  <c r="BC248" i="3"/>
  <c r="BC251" i="3" s="1"/>
  <c r="BC254" i="3" s="1"/>
  <c r="BC113" i="3" s="1"/>
  <c r="BD248" i="3"/>
  <c r="BD251" i="3" s="1"/>
  <c r="BD254" i="3" s="1"/>
  <c r="BD113" i="3" s="1"/>
  <c r="BE248" i="3"/>
  <c r="BE251" i="3" s="1"/>
  <c r="BE254" i="3" s="1"/>
  <c r="BF248" i="3"/>
  <c r="BF251" i="3" s="1"/>
  <c r="BF254" i="3" s="1"/>
  <c r="BG248" i="3"/>
  <c r="BG251" i="3" s="1"/>
  <c r="BG254" i="3" s="1"/>
  <c r="BH248" i="3"/>
  <c r="BH251" i="3" s="1"/>
  <c r="BH254" i="3" s="1"/>
  <c r="BI248" i="3"/>
  <c r="BI251" i="3" s="1"/>
  <c r="BI254" i="3" s="1"/>
  <c r="BJ248" i="3"/>
  <c r="BJ251" i="3" s="1"/>
  <c r="BJ254" i="3" s="1"/>
  <c r="BJ113" i="3" s="1"/>
  <c r="BK248" i="3"/>
  <c r="BK251" i="3" s="1"/>
  <c r="BK254" i="3" s="1"/>
  <c r="BK113" i="3" s="1"/>
  <c r="BL248" i="3"/>
  <c r="BL251" i="3" s="1"/>
  <c r="BL254" i="3" s="1"/>
  <c r="BL113" i="3" s="1"/>
  <c r="G248" i="3"/>
  <c r="BO245" i="3"/>
  <c r="H247" i="3"/>
  <c r="H250" i="3" s="1"/>
  <c r="H253" i="3" s="1"/>
  <c r="I247" i="3"/>
  <c r="I250" i="3" s="1"/>
  <c r="I253" i="3" s="1"/>
  <c r="J247" i="3"/>
  <c r="J250" i="3" s="1"/>
  <c r="J253" i="3" s="1"/>
  <c r="K247" i="3"/>
  <c r="K250" i="3" s="1"/>
  <c r="K253" i="3" s="1"/>
  <c r="L247" i="3"/>
  <c r="L250" i="3" s="1"/>
  <c r="L253" i="3" s="1"/>
  <c r="M247" i="3"/>
  <c r="N247" i="3"/>
  <c r="N250" i="3" s="1"/>
  <c r="N253" i="3" s="1"/>
  <c r="O247" i="3"/>
  <c r="O250" i="3" s="1"/>
  <c r="O253" i="3" s="1"/>
  <c r="P247" i="3"/>
  <c r="P250" i="3" s="1"/>
  <c r="P253" i="3" s="1"/>
  <c r="Q247" i="3"/>
  <c r="Q250" i="3" s="1"/>
  <c r="Q253" i="3" s="1"/>
  <c r="R247" i="3"/>
  <c r="R250" i="3" s="1"/>
  <c r="R253" i="3" s="1"/>
  <c r="S247" i="3"/>
  <c r="S250" i="3" s="1"/>
  <c r="S253" i="3" s="1"/>
  <c r="T247" i="3"/>
  <c r="T250" i="3" s="1"/>
  <c r="T253" i="3" s="1"/>
  <c r="U247" i="3"/>
  <c r="U250" i="3" s="1"/>
  <c r="U253" i="3" s="1"/>
  <c r="V247" i="3"/>
  <c r="V250" i="3" s="1"/>
  <c r="V253" i="3" s="1"/>
  <c r="W247" i="3"/>
  <c r="W250" i="3" s="1"/>
  <c r="W253" i="3" s="1"/>
  <c r="X247" i="3"/>
  <c r="X250" i="3" s="1"/>
  <c r="X253" i="3" s="1"/>
  <c r="Y247" i="3"/>
  <c r="Y250" i="3" s="1"/>
  <c r="Y253" i="3" s="1"/>
  <c r="Z247" i="3"/>
  <c r="Z250" i="3" s="1"/>
  <c r="Z253" i="3" s="1"/>
  <c r="AA247" i="3"/>
  <c r="AA250" i="3" s="1"/>
  <c r="AA253" i="3" s="1"/>
  <c r="AB247" i="3"/>
  <c r="AB250" i="3" s="1"/>
  <c r="AB253" i="3" s="1"/>
  <c r="AF247" i="3"/>
  <c r="AF250" i="3" s="1"/>
  <c r="AF253" i="3" s="1"/>
  <c r="AP247" i="3"/>
  <c r="AP250" i="3" s="1"/>
  <c r="AP253" i="3" s="1"/>
  <c r="AQ247" i="3"/>
  <c r="AQ250" i="3" s="1"/>
  <c r="AQ253" i="3" s="1"/>
  <c r="AR247" i="3"/>
  <c r="AR250" i="3" s="1"/>
  <c r="AR253" i="3" s="1"/>
  <c r="AS247" i="3"/>
  <c r="AS250" i="3" s="1"/>
  <c r="AS253" i="3" s="1"/>
  <c r="AT247" i="3"/>
  <c r="AT250" i="3" s="1"/>
  <c r="AT253" i="3" s="1"/>
  <c r="AU247" i="3"/>
  <c r="AU250" i="3" s="1"/>
  <c r="AU253" i="3" s="1"/>
  <c r="AV247" i="3"/>
  <c r="AV250" i="3" s="1"/>
  <c r="AV253" i="3" s="1"/>
  <c r="AY247" i="3"/>
  <c r="AY250" i="3" s="1"/>
  <c r="AY253" i="3" s="1"/>
  <c r="AY111" i="3" s="1"/>
  <c r="AZ247" i="3"/>
  <c r="AZ250" i="3" s="1"/>
  <c r="AZ253" i="3" s="1"/>
  <c r="AZ111" i="3" s="1"/>
  <c r="BA247" i="3"/>
  <c r="BA250" i="3" s="1"/>
  <c r="BA253" i="3" s="1"/>
  <c r="BA111" i="3" s="1"/>
  <c r="BB247" i="3"/>
  <c r="BB250" i="3" s="1"/>
  <c r="BB253" i="3" s="1"/>
  <c r="BB111" i="3" s="1"/>
  <c r="BC247" i="3"/>
  <c r="BC250" i="3" s="1"/>
  <c r="BC253" i="3" s="1"/>
  <c r="BC111" i="3" s="1"/>
  <c r="BD247" i="3"/>
  <c r="BD250" i="3" s="1"/>
  <c r="BD253" i="3" s="1"/>
  <c r="BD111" i="3" s="1"/>
  <c r="BE247" i="3"/>
  <c r="BE250" i="3" s="1"/>
  <c r="BE253" i="3" s="1"/>
  <c r="BE111" i="3" s="1"/>
  <c r="BF247" i="3"/>
  <c r="BF250" i="3" s="1"/>
  <c r="BF253" i="3" s="1"/>
  <c r="BF111" i="3" s="1"/>
  <c r="BG247" i="3"/>
  <c r="BG250" i="3" s="1"/>
  <c r="BG253" i="3" s="1"/>
  <c r="BG111" i="3" s="1"/>
  <c r="BH247" i="3"/>
  <c r="BH250" i="3" s="1"/>
  <c r="BH253" i="3" s="1"/>
  <c r="BI247" i="3"/>
  <c r="BI250" i="3" s="1"/>
  <c r="BI253" i="3" s="1"/>
  <c r="BI111" i="3" s="1"/>
  <c r="BJ247" i="3"/>
  <c r="BJ250" i="3" s="1"/>
  <c r="BJ253" i="3" s="1"/>
  <c r="BJ111" i="3" s="1"/>
  <c r="BK247" i="3"/>
  <c r="BK250" i="3" s="1"/>
  <c r="BK253" i="3" s="1"/>
  <c r="BK111" i="3" s="1"/>
  <c r="BL247" i="3"/>
  <c r="BL250" i="3" s="1"/>
  <c r="BL253" i="3" s="1"/>
  <c r="BL111" i="3" s="1"/>
  <c r="G247" i="3"/>
  <c r="BO244" i="3"/>
  <c r="H257" i="3"/>
  <c r="H258" i="3" s="1"/>
  <c r="H259" i="3" s="1"/>
  <c r="I257" i="3"/>
  <c r="I258" i="3" s="1"/>
  <c r="I259" i="3" s="1"/>
  <c r="J257" i="3"/>
  <c r="J258" i="3" s="1"/>
  <c r="J259" i="3" s="1"/>
  <c r="K257" i="3"/>
  <c r="K258" i="3" s="1"/>
  <c r="K259" i="3" s="1"/>
  <c r="L257" i="3"/>
  <c r="L258" i="3" s="1"/>
  <c r="L259" i="3" s="1"/>
  <c r="M257" i="3"/>
  <c r="N257" i="3"/>
  <c r="N258" i="3" s="1"/>
  <c r="N259" i="3" s="1"/>
  <c r="O257" i="3"/>
  <c r="O258" i="3" s="1"/>
  <c r="O259" i="3" s="1"/>
  <c r="P257" i="3"/>
  <c r="P258" i="3" s="1"/>
  <c r="P259" i="3" s="1"/>
  <c r="Q257" i="3"/>
  <c r="Q258" i="3" s="1"/>
  <c r="Q259" i="3" s="1"/>
  <c r="R257" i="3"/>
  <c r="R258" i="3" s="1"/>
  <c r="R259" i="3" s="1"/>
  <c r="S257" i="3"/>
  <c r="S258" i="3" s="1"/>
  <c r="S259" i="3" s="1"/>
  <c r="T257" i="3"/>
  <c r="T258" i="3" s="1"/>
  <c r="T259" i="3" s="1"/>
  <c r="U257" i="3"/>
  <c r="U258" i="3" s="1"/>
  <c r="U259" i="3" s="1"/>
  <c r="V257" i="3"/>
  <c r="V258" i="3" s="1"/>
  <c r="V259" i="3" s="1"/>
  <c r="W257" i="3"/>
  <c r="W258" i="3" s="1"/>
  <c r="W259" i="3" s="1"/>
  <c r="X257" i="3"/>
  <c r="X258" i="3" s="1"/>
  <c r="X259" i="3" s="1"/>
  <c r="Y257" i="3"/>
  <c r="Y258" i="3" s="1"/>
  <c r="Y259" i="3" s="1"/>
  <c r="Z257" i="3"/>
  <c r="Z258" i="3" s="1"/>
  <c r="Z259" i="3" s="1"/>
  <c r="AA257" i="3"/>
  <c r="AA258" i="3" s="1"/>
  <c r="AA259" i="3" s="1"/>
  <c r="AB257" i="3"/>
  <c r="AB258" i="3" s="1"/>
  <c r="AB259" i="3" s="1"/>
  <c r="AF257" i="3"/>
  <c r="AF258" i="3" s="1"/>
  <c r="AF259" i="3" s="1"/>
  <c r="AP257" i="3"/>
  <c r="AP258" i="3" s="1"/>
  <c r="AP259" i="3" s="1"/>
  <c r="AQ257" i="3"/>
  <c r="AQ258" i="3" s="1"/>
  <c r="AQ259" i="3" s="1"/>
  <c r="AR257" i="3"/>
  <c r="AR258" i="3" s="1"/>
  <c r="AR259" i="3" s="1"/>
  <c r="AS257" i="3"/>
  <c r="AS258" i="3" s="1"/>
  <c r="AS259" i="3" s="1"/>
  <c r="AT257" i="3"/>
  <c r="AT258" i="3" s="1"/>
  <c r="AT259" i="3" s="1"/>
  <c r="AU257" i="3"/>
  <c r="AU258" i="3" s="1"/>
  <c r="AU259" i="3" s="1"/>
  <c r="AV257" i="3"/>
  <c r="AV258" i="3" s="1"/>
  <c r="AV259" i="3" s="1"/>
  <c r="AY257" i="3"/>
  <c r="AY258" i="3" s="1"/>
  <c r="AY259" i="3" s="1"/>
  <c r="AY129" i="3" s="1"/>
  <c r="AZ257" i="3"/>
  <c r="AZ258" i="3" s="1"/>
  <c r="AZ259" i="3" s="1"/>
  <c r="AZ129" i="3" s="1"/>
  <c r="BA257" i="3"/>
  <c r="BA258" i="3" s="1"/>
  <c r="BA259" i="3" s="1"/>
  <c r="BA129" i="3" s="1"/>
  <c r="BB257" i="3"/>
  <c r="BB258" i="3" s="1"/>
  <c r="BB259" i="3" s="1"/>
  <c r="BB129" i="3" s="1"/>
  <c r="BC257" i="3"/>
  <c r="BC258" i="3" s="1"/>
  <c r="BC259" i="3" s="1"/>
  <c r="BC129" i="3" s="1"/>
  <c r="BD257" i="3"/>
  <c r="BD258" i="3" s="1"/>
  <c r="BD259" i="3" s="1"/>
  <c r="BD129" i="3" s="1"/>
  <c r="BE257" i="3"/>
  <c r="BE258" i="3" s="1"/>
  <c r="BE259" i="3" s="1"/>
  <c r="BE129" i="3" s="1"/>
  <c r="BF257" i="3"/>
  <c r="BF258" i="3" s="1"/>
  <c r="BF259" i="3" s="1"/>
  <c r="BF129" i="3" s="1"/>
  <c r="BG257" i="3"/>
  <c r="BG258" i="3" s="1"/>
  <c r="BG259" i="3" s="1"/>
  <c r="BG129" i="3" s="1"/>
  <c r="BH257" i="3"/>
  <c r="BH258" i="3" s="1"/>
  <c r="BH259" i="3" s="1"/>
  <c r="BH129" i="3" s="1"/>
  <c r="BI257" i="3"/>
  <c r="BI258" i="3" s="1"/>
  <c r="BI259" i="3" s="1"/>
  <c r="BI129" i="3" s="1"/>
  <c r="BJ257" i="3"/>
  <c r="BJ258" i="3" s="1"/>
  <c r="BJ259" i="3" s="1"/>
  <c r="BJ129" i="3" s="1"/>
  <c r="BK257" i="3"/>
  <c r="BK258" i="3" s="1"/>
  <c r="BK259" i="3" s="1"/>
  <c r="BK129" i="3" s="1"/>
  <c r="BL257" i="3"/>
  <c r="BL258" i="3" s="1"/>
  <c r="BL259" i="3" s="1"/>
  <c r="BL129" i="3" s="1"/>
  <c r="G257" i="3"/>
  <c r="BO256" i="3"/>
  <c r="H262" i="3"/>
  <c r="H263" i="3" s="1"/>
  <c r="H264" i="3" s="1"/>
  <c r="I262" i="3"/>
  <c r="I263" i="3" s="1"/>
  <c r="I264" i="3" s="1"/>
  <c r="J262" i="3"/>
  <c r="J263" i="3" s="1"/>
  <c r="J264" i="3" s="1"/>
  <c r="K262" i="3"/>
  <c r="K263" i="3" s="1"/>
  <c r="K264" i="3" s="1"/>
  <c r="L262" i="3"/>
  <c r="L263" i="3" s="1"/>
  <c r="L264" i="3" s="1"/>
  <c r="M262" i="3"/>
  <c r="N262" i="3"/>
  <c r="N263" i="3" s="1"/>
  <c r="N264" i="3" s="1"/>
  <c r="O262" i="3"/>
  <c r="O263" i="3" s="1"/>
  <c r="O264" i="3" s="1"/>
  <c r="P262" i="3"/>
  <c r="P263" i="3" s="1"/>
  <c r="P264" i="3" s="1"/>
  <c r="Q262" i="3"/>
  <c r="Q263" i="3" s="1"/>
  <c r="Q264" i="3" s="1"/>
  <c r="R262" i="3"/>
  <c r="R263" i="3" s="1"/>
  <c r="R264" i="3" s="1"/>
  <c r="S262" i="3"/>
  <c r="S263" i="3" s="1"/>
  <c r="S264" i="3" s="1"/>
  <c r="T262" i="3"/>
  <c r="T263" i="3" s="1"/>
  <c r="T264" i="3" s="1"/>
  <c r="U262" i="3"/>
  <c r="U263" i="3" s="1"/>
  <c r="U264" i="3" s="1"/>
  <c r="V262" i="3"/>
  <c r="V263" i="3" s="1"/>
  <c r="V264" i="3" s="1"/>
  <c r="W262" i="3"/>
  <c r="W263" i="3" s="1"/>
  <c r="W264" i="3" s="1"/>
  <c r="X262" i="3"/>
  <c r="X263" i="3" s="1"/>
  <c r="X264" i="3" s="1"/>
  <c r="Y262" i="3"/>
  <c r="Y263" i="3" s="1"/>
  <c r="Y264" i="3" s="1"/>
  <c r="Z262" i="3"/>
  <c r="Z263" i="3" s="1"/>
  <c r="Z264" i="3" s="1"/>
  <c r="AA262" i="3"/>
  <c r="AA263" i="3" s="1"/>
  <c r="AA264" i="3" s="1"/>
  <c r="AB262" i="3"/>
  <c r="AB263" i="3" s="1"/>
  <c r="AB264" i="3" s="1"/>
  <c r="AF262" i="3"/>
  <c r="AF263" i="3" s="1"/>
  <c r="AF264" i="3" s="1"/>
  <c r="AP262" i="3"/>
  <c r="AP263" i="3" s="1"/>
  <c r="AP264" i="3" s="1"/>
  <c r="AQ262" i="3"/>
  <c r="AQ263" i="3" s="1"/>
  <c r="AQ264" i="3" s="1"/>
  <c r="AR262" i="3"/>
  <c r="AR263" i="3" s="1"/>
  <c r="AR264" i="3" s="1"/>
  <c r="AS262" i="3"/>
  <c r="AS263" i="3" s="1"/>
  <c r="AS264" i="3" s="1"/>
  <c r="AT262" i="3"/>
  <c r="AT263" i="3" s="1"/>
  <c r="AT264" i="3" s="1"/>
  <c r="AU262" i="3"/>
  <c r="AU263" i="3" s="1"/>
  <c r="AU264" i="3" s="1"/>
  <c r="AV262" i="3"/>
  <c r="AV263" i="3" s="1"/>
  <c r="AV264" i="3" s="1"/>
  <c r="AY262" i="3"/>
  <c r="AY263" i="3" s="1"/>
  <c r="AY264" i="3" s="1"/>
  <c r="AY133" i="3" s="1"/>
  <c r="AZ262" i="3"/>
  <c r="AZ263" i="3" s="1"/>
  <c r="AZ264" i="3" s="1"/>
  <c r="AZ133" i="3" s="1"/>
  <c r="BA262" i="3"/>
  <c r="BA263" i="3" s="1"/>
  <c r="BA264" i="3" s="1"/>
  <c r="BA133" i="3" s="1"/>
  <c r="BB262" i="3"/>
  <c r="BB263" i="3" s="1"/>
  <c r="BB264" i="3" s="1"/>
  <c r="BB133" i="3" s="1"/>
  <c r="BC262" i="3"/>
  <c r="BC263" i="3" s="1"/>
  <c r="BC264" i="3" s="1"/>
  <c r="BC133" i="3" s="1"/>
  <c r="BD262" i="3"/>
  <c r="BD263" i="3" s="1"/>
  <c r="BD264" i="3" s="1"/>
  <c r="BD133" i="3" s="1"/>
  <c r="BE262" i="3"/>
  <c r="BE263" i="3" s="1"/>
  <c r="BE264" i="3" s="1"/>
  <c r="BE133" i="3" s="1"/>
  <c r="BF262" i="3"/>
  <c r="BF263" i="3" s="1"/>
  <c r="BF264" i="3" s="1"/>
  <c r="BF133" i="3" s="1"/>
  <c r="BG262" i="3"/>
  <c r="BG263" i="3" s="1"/>
  <c r="BG264" i="3" s="1"/>
  <c r="BG133" i="3" s="1"/>
  <c r="BH262" i="3"/>
  <c r="BH263" i="3" s="1"/>
  <c r="BH264" i="3" s="1"/>
  <c r="BH133" i="3" s="1"/>
  <c r="BI262" i="3"/>
  <c r="BI263" i="3" s="1"/>
  <c r="BI264" i="3" s="1"/>
  <c r="BI133" i="3" s="1"/>
  <c r="BJ262" i="3"/>
  <c r="BJ263" i="3" s="1"/>
  <c r="BJ264" i="3" s="1"/>
  <c r="BJ133" i="3" s="1"/>
  <c r="BK262" i="3"/>
  <c r="BK263" i="3" s="1"/>
  <c r="BK264" i="3" s="1"/>
  <c r="BK133" i="3" s="1"/>
  <c r="BL262" i="3"/>
  <c r="BL263" i="3" s="1"/>
  <c r="BL264" i="3" s="1"/>
  <c r="BL133" i="3" s="1"/>
  <c r="G262" i="3"/>
  <c r="BO261" i="3"/>
  <c r="B17" i="9"/>
  <c r="CA12" i="9"/>
  <c r="CA17" i="9" s="1"/>
  <c r="B22" i="9"/>
  <c r="CA19" i="9"/>
  <c r="CA22" i="9" s="1"/>
  <c r="B28" i="9"/>
  <c r="CA25" i="9"/>
  <c r="CA28" i="9" s="1"/>
  <c r="B32" i="9"/>
  <c r="CA30" i="9"/>
  <c r="CA32" i="9" s="1"/>
  <c r="B40" i="9"/>
  <c r="B44" i="9"/>
  <c r="B55" i="9"/>
  <c r="C58" i="9"/>
  <c r="CA57" i="9"/>
  <c r="CA58" i="9" s="1"/>
  <c r="C70" i="9"/>
  <c r="CA68" i="9"/>
  <c r="C77" i="9"/>
  <c r="CA72" i="9"/>
  <c r="C91" i="9"/>
  <c r="CA89" i="9"/>
  <c r="CA93" i="9"/>
  <c r="CA101" i="9"/>
  <c r="C114" i="9"/>
  <c r="CA110" i="9"/>
  <c r="C117" i="9"/>
  <c r="CA116" i="9"/>
  <c r="CA121" i="9"/>
  <c r="CA139" i="9"/>
  <c r="C143" i="9"/>
  <c r="C144" i="9" s="1"/>
  <c r="CA142" i="9"/>
  <c r="C147" i="9"/>
  <c r="CA146" i="9"/>
  <c r="BZ180" i="9"/>
  <c r="BZ181" i="9" s="1"/>
  <c r="BY180" i="9"/>
  <c r="BY181" i="9" s="1"/>
  <c r="BX180" i="9"/>
  <c r="BX181" i="9" s="1"/>
  <c r="BW180" i="9"/>
  <c r="BW181" i="9" s="1"/>
  <c r="BV180" i="9"/>
  <c r="BV181" i="9" s="1"/>
  <c r="BU180" i="9"/>
  <c r="BU181" i="9" s="1"/>
  <c r="BT180" i="9"/>
  <c r="BT181" i="9" s="1"/>
  <c r="BS180" i="9"/>
  <c r="BS181" i="9" s="1"/>
  <c r="BR180" i="9"/>
  <c r="BR181" i="9" s="1"/>
  <c r="BQ180" i="9"/>
  <c r="BQ181" i="9" s="1"/>
  <c r="BP180" i="9"/>
  <c r="BP181" i="9" s="1"/>
  <c r="BO180" i="9"/>
  <c r="BO181" i="9" s="1"/>
  <c r="BN180" i="9"/>
  <c r="BN181" i="9" s="1"/>
  <c r="BM180" i="9"/>
  <c r="BM181" i="9" s="1"/>
  <c r="BL180" i="9"/>
  <c r="BL181" i="9" s="1"/>
  <c r="BK180" i="9"/>
  <c r="BK181" i="9" s="1"/>
  <c r="BJ180" i="9"/>
  <c r="BJ181" i="9" s="1"/>
  <c r="BI180" i="9"/>
  <c r="BI181" i="9" s="1"/>
  <c r="BI60" i="9" s="1"/>
  <c r="BI61" i="9" s="1"/>
  <c r="BH180" i="9"/>
  <c r="BH181" i="9" s="1"/>
  <c r="BH60" i="9" s="1"/>
  <c r="BH61" i="9" s="1"/>
  <c r="BG180" i="9"/>
  <c r="BG181" i="9" s="1"/>
  <c r="BG60" i="9" s="1"/>
  <c r="BG61" i="9" s="1"/>
  <c r="BF180" i="9"/>
  <c r="BF181" i="9" s="1"/>
  <c r="BE180" i="9"/>
  <c r="BE181" i="9" s="1"/>
  <c r="BD180" i="9"/>
  <c r="BD181" i="9" s="1"/>
  <c r="BC180" i="9"/>
  <c r="BC181" i="9" s="1"/>
  <c r="BB180" i="9"/>
  <c r="BB181" i="9" s="1"/>
  <c r="BB60" i="9" s="1"/>
  <c r="BB61" i="9" s="1"/>
  <c r="BA180" i="9"/>
  <c r="BA181" i="9" s="1"/>
  <c r="BA60" i="9" s="1"/>
  <c r="BA61" i="9" s="1"/>
  <c r="AZ180" i="9"/>
  <c r="AZ181" i="9" s="1"/>
  <c r="AZ60" i="9" s="1"/>
  <c r="AZ61" i="9" s="1"/>
  <c r="AY180" i="9"/>
  <c r="AY181" i="9" s="1"/>
  <c r="AX180" i="9"/>
  <c r="AX181" i="9" s="1"/>
  <c r="AX60" i="9" s="1"/>
  <c r="AX61" i="9" s="1"/>
  <c r="AW180" i="9"/>
  <c r="AW181" i="9" s="1"/>
  <c r="AW60" i="9" s="1"/>
  <c r="AW61" i="9" s="1"/>
  <c r="AV180" i="9"/>
  <c r="AV181" i="9" s="1"/>
  <c r="AU180" i="9"/>
  <c r="AU181" i="9" s="1"/>
  <c r="AT180" i="9"/>
  <c r="AT181" i="9" s="1"/>
  <c r="AT60" i="9" s="1"/>
  <c r="AT61" i="9" s="1"/>
  <c r="AS180" i="9"/>
  <c r="AS181" i="9" s="1"/>
  <c r="AR180" i="9"/>
  <c r="AR181" i="9" s="1"/>
  <c r="AR60" i="9" s="1"/>
  <c r="AR61" i="9" s="1"/>
  <c r="AQ180" i="9"/>
  <c r="AQ181" i="9" s="1"/>
  <c r="AQ60" i="9" s="1"/>
  <c r="AQ61" i="9" s="1"/>
  <c r="AP180" i="9"/>
  <c r="AP181" i="9" s="1"/>
  <c r="AO180" i="9"/>
  <c r="AO181" i="9" s="1"/>
  <c r="AN180" i="9"/>
  <c r="AN181" i="9" s="1"/>
  <c r="AM180" i="9"/>
  <c r="AM181" i="9" s="1"/>
  <c r="AL180" i="9"/>
  <c r="AL181" i="9" s="1"/>
  <c r="AK180" i="9"/>
  <c r="AK181" i="9" s="1"/>
  <c r="AJ180" i="9"/>
  <c r="AJ181" i="9" s="1"/>
  <c r="AI180" i="9"/>
  <c r="AI181" i="9" s="1"/>
  <c r="AI60" i="9" s="1"/>
  <c r="AI61" i="9" s="1"/>
  <c r="AH180" i="9"/>
  <c r="AH181" i="9" s="1"/>
  <c r="AH60" i="9" s="1"/>
  <c r="AH61" i="9" s="1"/>
  <c r="AG180" i="9"/>
  <c r="AG181" i="9" s="1"/>
  <c r="AG60" i="9" s="1"/>
  <c r="AG61" i="9" s="1"/>
  <c r="AF180" i="9"/>
  <c r="AF181" i="9" s="1"/>
  <c r="AF60" i="9" s="1"/>
  <c r="AF61" i="9" s="1"/>
  <c r="AD180" i="9"/>
  <c r="AD181" i="9" s="1"/>
  <c r="AD60" i="9" s="1"/>
  <c r="AD61" i="9" s="1"/>
  <c r="AC180" i="9"/>
  <c r="AC181" i="9" s="1"/>
  <c r="AC60" i="9" s="1"/>
  <c r="AC61" i="9" s="1"/>
  <c r="AB180" i="9"/>
  <c r="AB181" i="9" s="1"/>
  <c r="AB60" i="9" s="1"/>
  <c r="AB61" i="9" s="1"/>
  <c r="AA180" i="9"/>
  <c r="AA181" i="9" s="1"/>
  <c r="AA60" i="9" s="1"/>
  <c r="AA61" i="9" s="1"/>
  <c r="Z180" i="9"/>
  <c r="Z181" i="9" s="1"/>
  <c r="Z60" i="9" s="1"/>
  <c r="Z61" i="9" s="1"/>
  <c r="Y180" i="9"/>
  <c r="Y181" i="9" s="1"/>
  <c r="Y60" i="9" s="1"/>
  <c r="Y61" i="9" s="1"/>
  <c r="X180" i="9"/>
  <c r="X181" i="9" s="1"/>
  <c r="X60" i="9" s="1"/>
  <c r="X61" i="9" s="1"/>
  <c r="W180" i="9"/>
  <c r="W181" i="9" s="1"/>
  <c r="W60" i="9" s="1"/>
  <c r="W61" i="9" s="1"/>
  <c r="V180" i="9"/>
  <c r="V181" i="9" s="1"/>
  <c r="V60" i="9" s="1"/>
  <c r="V61" i="9" s="1"/>
  <c r="U180" i="9"/>
  <c r="U181" i="9" s="1"/>
  <c r="U60" i="9" s="1"/>
  <c r="U61" i="9" s="1"/>
  <c r="T180" i="9"/>
  <c r="T181" i="9" s="1"/>
  <c r="T60" i="9" s="1"/>
  <c r="T61" i="9" s="1"/>
  <c r="S180" i="9"/>
  <c r="S181" i="9" s="1"/>
  <c r="S60" i="9" s="1"/>
  <c r="S61" i="9" s="1"/>
  <c r="R180" i="9"/>
  <c r="R181" i="9" s="1"/>
  <c r="R60" i="9" s="1"/>
  <c r="R61" i="9" s="1"/>
  <c r="Q180" i="9"/>
  <c r="Q181" i="9" s="1"/>
  <c r="Q60" i="9" s="1"/>
  <c r="Q61" i="9" s="1"/>
  <c r="P180" i="9"/>
  <c r="P181" i="9" s="1"/>
  <c r="P60" i="9" s="1"/>
  <c r="P61" i="9" s="1"/>
  <c r="O180" i="9"/>
  <c r="O181" i="9" s="1"/>
  <c r="O60" i="9" s="1"/>
  <c r="O61" i="9" s="1"/>
  <c r="N180" i="9"/>
  <c r="N181" i="9" s="1"/>
  <c r="N60" i="9" s="1"/>
  <c r="N61" i="9" s="1"/>
  <c r="M180" i="9"/>
  <c r="M181" i="9" s="1"/>
  <c r="M60" i="9" s="1"/>
  <c r="M61" i="9" s="1"/>
  <c r="L180" i="9"/>
  <c r="L181" i="9" s="1"/>
  <c r="L60" i="9" s="1"/>
  <c r="L61" i="9" s="1"/>
  <c r="K180" i="9"/>
  <c r="K181" i="9" s="1"/>
  <c r="K60" i="9" s="1"/>
  <c r="K61" i="9" s="1"/>
  <c r="J180" i="9"/>
  <c r="J181" i="9" s="1"/>
  <c r="J60" i="9" s="1"/>
  <c r="J61" i="9" s="1"/>
  <c r="I180" i="9"/>
  <c r="I181" i="9" s="1"/>
  <c r="I60" i="9" s="1"/>
  <c r="I61" i="9" s="1"/>
  <c r="H180" i="9"/>
  <c r="H181" i="9" s="1"/>
  <c r="H60" i="9" s="1"/>
  <c r="H61" i="9" s="1"/>
  <c r="G180" i="9"/>
  <c r="G181" i="9" s="1"/>
  <c r="G60" i="9" s="1"/>
  <c r="G61" i="9" s="1"/>
  <c r="F180" i="9"/>
  <c r="F181" i="9" s="1"/>
  <c r="F60" i="9" s="1"/>
  <c r="F61" i="9" s="1"/>
  <c r="E180" i="9"/>
  <c r="E181" i="9" s="1"/>
  <c r="E60" i="9" s="1"/>
  <c r="E61" i="9" s="1"/>
  <c r="D180" i="9"/>
  <c r="D181" i="9" s="1"/>
  <c r="D60" i="9" s="1"/>
  <c r="D61" i="9" s="1"/>
  <c r="C180" i="9"/>
  <c r="C181" i="9" s="1"/>
  <c r="C60" i="9" s="1"/>
  <c r="B180" i="9"/>
  <c r="C192" i="9"/>
  <c r="CA188" i="9"/>
  <c r="C193" i="9"/>
  <c r="CA189" i="9"/>
  <c r="C194" i="9"/>
  <c r="CA190" i="9"/>
  <c r="C208" i="9"/>
  <c r="CA204" i="9"/>
  <c r="C209" i="9"/>
  <c r="CA205" i="9"/>
  <c r="C210" i="9"/>
  <c r="CA206" i="9"/>
  <c r="BZ217" i="9"/>
  <c r="BZ218" i="9" s="1"/>
  <c r="BZ219" i="9" s="1"/>
  <c r="BZ87" i="9" s="1"/>
  <c r="BY217" i="9"/>
  <c r="BY218" i="9" s="1"/>
  <c r="BY219" i="9" s="1"/>
  <c r="BY87" i="9" s="1"/>
  <c r="BX217" i="9"/>
  <c r="BX218" i="9" s="1"/>
  <c r="BX219" i="9" s="1"/>
  <c r="BX87" i="9" s="1"/>
  <c r="BW217" i="9"/>
  <c r="BW218" i="9" s="1"/>
  <c r="BW219" i="9" s="1"/>
  <c r="BW87" i="9" s="1"/>
  <c r="BV217" i="9"/>
  <c r="BV218" i="9" s="1"/>
  <c r="BV219" i="9" s="1"/>
  <c r="BV87" i="9" s="1"/>
  <c r="BU217" i="9"/>
  <c r="BU218" i="9" s="1"/>
  <c r="BU219" i="9" s="1"/>
  <c r="BU87" i="9" s="1"/>
  <c r="BT217" i="9"/>
  <c r="BT218" i="9" s="1"/>
  <c r="BT219" i="9" s="1"/>
  <c r="BT87" i="9" s="1"/>
  <c r="BS217" i="9"/>
  <c r="BS218" i="9" s="1"/>
  <c r="BS219" i="9" s="1"/>
  <c r="BS87" i="9" s="1"/>
  <c r="BR217" i="9"/>
  <c r="BR218" i="9" s="1"/>
  <c r="BR219" i="9" s="1"/>
  <c r="BR87" i="9" s="1"/>
  <c r="BQ217" i="9"/>
  <c r="BQ218" i="9" s="1"/>
  <c r="BQ219" i="9" s="1"/>
  <c r="BQ87" i="9" s="1"/>
  <c r="BP217" i="9"/>
  <c r="BP218" i="9" s="1"/>
  <c r="BP219" i="9" s="1"/>
  <c r="BP87" i="9" s="1"/>
  <c r="BO217" i="9"/>
  <c r="BO218" i="9" s="1"/>
  <c r="BO219" i="9" s="1"/>
  <c r="BO87" i="9" s="1"/>
  <c r="BN217" i="9"/>
  <c r="BN218" i="9" s="1"/>
  <c r="BN219" i="9" s="1"/>
  <c r="BN87" i="9" s="1"/>
  <c r="BM217" i="9"/>
  <c r="BM218" i="9" s="1"/>
  <c r="BM219" i="9" s="1"/>
  <c r="BM87" i="9" s="1"/>
  <c r="BL217" i="9"/>
  <c r="BL218" i="9" s="1"/>
  <c r="BL219" i="9" s="1"/>
  <c r="BL87" i="9" s="1"/>
  <c r="BK217" i="9"/>
  <c r="BK218" i="9" s="1"/>
  <c r="BK219" i="9" s="1"/>
  <c r="BK87" i="9" s="1"/>
  <c r="BJ217" i="9"/>
  <c r="BJ218" i="9" s="1"/>
  <c r="BJ219" i="9" s="1"/>
  <c r="BJ87" i="9" s="1"/>
  <c r="BI217" i="9"/>
  <c r="BI218" i="9" s="1"/>
  <c r="BI219" i="9" s="1"/>
  <c r="BI87" i="9" s="1"/>
  <c r="BH217" i="9"/>
  <c r="BH218" i="9" s="1"/>
  <c r="BH219" i="9" s="1"/>
  <c r="BH87" i="9" s="1"/>
  <c r="BG217" i="9"/>
  <c r="BG218" i="9" s="1"/>
  <c r="BG219" i="9" s="1"/>
  <c r="BF217" i="9"/>
  <c r="BF218" i="9" s="1"/>
  <c r="BF219" i="9" s="1"/>
  <c r="BF87" i="9" s="1"/>
  <c r="BE217" i="9"/>
  <c r="BE218" i="9" s="1"/>
  <c r="BE219" i="9" s="1"/>
  <c r="BE87" i="9" s="1"/>
  <c r="BD217" i="9"/>
  <c r="BD218" i="9" s="1"/>
  <c r="BD219" i="9" s="1"/>
  <c r="BD87" i="9" s="1"/>
  <c r="BC217" i="9"/>
  <c r="BC218" i="9" s="1"/>
  <c r="BC219" i="9" s="1"/>
  <c r="BC87" i="9" s="1"/>
  <c r="BB217" i="9"/>
  <c r="BB218" i="9" s="1"/>
  <c r="BB219" i="9" s="1"/>
  <c r="BB87" i="9" s="1"/>
  <c r="BA217" i="9"/>
  <c r="BA218" i="9" s="1"/>
  <c r="BA219" i="9" s="1"/>
  <c r="BA87" i="9" s="1"/>
  <c r="AZ217" i="9"/>
  <c r="AZ218" i="9" s="1"/>
  <c r="AZ219" i="9" s="1"/>
  <c r="AZ87" i="9" s="1"/>
  <c r="AY217" i="9"/>
  <c r="AY218" i="9" s="1"/>
  <c r="AY219" i="9" s="1"/>
  <c r="AY87" i="9" s="1"/>
  <c r="AX217" i="9"/>
  <c r="AX218" i="9" s="1"/>
  <c r="AX219" i="9" s="1"/>
  <c r="AX87" i="9" s="1"/>
  <c r="AW217" i="9"/>
  <c r="AW218" i="9" s="1"/>
  <c r="AW219" i="9" s="1"/>
  <c r="AW87" i="9" s="1"/>
  <c r="AV217" i="9"/>
  <c r="AV218" i="9" s="1"/>
  <c r="AV219" i="9" s="1"/>
  <c r="AV87" i="9" s="1"/>
  <c r="AU217" i="9"/>
  <c r="AU218" i="9" s="1"/>
  <c r="AU219" i="9" s="1"/>
  <c r="AU87" i="9" s="1"/>
  <c r="AT217" i="9"/>
  <c r="AT218" i="9" s="1"/>
  <c r="AT219" i="9" s="1"/>
  <c r="AT87" i="9" s="1"/>
  <c r="AS217" i="9"/>
  <c r="AS218" i="9" s="1"/>
  <c r="AS219" i="9" s="1"/>
  <c r="AS87" i="9" s="1"/>
  <c r="AR217" i="9"/>
  <c r="AR218" i="9" s="1"/>
  <c r="AR219" i="9" s="1"/>
  <c r="AR87" i="9" s="1"/>
  <c r="AQ217" i="9"/>
  <c r="AQ218" i="9" s="1"/>
  <c r="AQ219" i="9" s="1"/>
  <c r="AQ87" i="9" s="1"/>
  <c r="AP217" i="9"/>
  <c r="AP218" i="9" s="1"/>
  <c r="AP219" i="9" s="1"/>
  <c r="AP87" i="9" s="1"/>
  <c r="AO217" i="9"/>
  <c r="AO218" i="9" s="1"/>
  <c r="AO219" i="9" s="1"/>
  <c r="AO87" i="9" s="1"/>
  <c r="AN217" i="9"/>
  <c r="AN218" i="9" s="1"/>
  <c r="AN219" i="9" s="1"/>
  <c r="AN87" i="9" s="1"/>
  <c r="AM217" i="9"/>
  <c r="AM218" i="9" s="1"/>
  <c r="AM219" i="9" s="1"/>
  <c r="AM87" i="9" s="1"/>
  <c r="AL217" i="9"/>
  <c r="AL218" i="9" s="1"/>
  <c r="AL219" i="9" s="1"/>
  <c r="AL87" i="9" s="1"/>
  <c r="AK217" i="9"/>
  <c r="AK218" i="9" s="1"/>
  <c r="AK219" i="9" s="1"/>
  <c r="AK87" i="9" s="1"/>
  <c r="AJ217" i="9"/>
  <c r="AJ218" i="9" s="1"/>
  <c r="AJ219" i="9" s="1"/>
  <c r="AJ87" i="9" s="1"/>
  <c r="AI217" i="9"/>
  <c r="AI218" i="9" s="1"/>
  <c r="AI219" i="9" s="1"/>
  <c r="AI87" i="9" s="1"/>
  <c r="AH217" i="9"/>
  <c r="AH218" i="9" s="1"/>
  <c r="AH219" i="9" s="1"/>
  <c r="AH87" i="9" s="1"/>
  <c r="AG217" i="9"/>
  <c r="AG218" i="9" s="1"/>
  <c r="AG219" i="9" s="1"/>
  <c r="AG87" i="9" s="1"/>
  <c r="AF217" i="9"/>
  <c r="AF218" i="9" s="1"/>
  <c r="AF219" i="9" s="1"/>
  <c r="AF87" i="9" s="1"/>
  <c r="AD217" i="9"/>
  <c r="AD218" i="9" s="1"/>
  <c r="AD219" i="9" s="1"/>
  <c r="AD87" i="9" s="1"/>
  <c r="AC217" i="9"/>
  <c r="AC218" i="9" s="1"/>
  <c r="AC219" i="9" s="1"/>
  <c r="AC87" i="9" s="1"/>
  <c r="AB217" i="9"/>
  <c r="AB218" i="9" s="1"/>
  <c r="AB219" i="9" s="1"/>
  <c r="AB87" i="9" s="1"/>
  <c r="AA217" i="9"/>
  <c r="AA218" i="9" s="1"/>
  <c r="AA219" i="9" s="1"/>
  <c r="AA87" i="9" s="1"/>
  <c r="Z217" i="9"/>
  <c r="Z218" i="9" s="1"/>
  <c r="Z219" i="9" s="1"/>
  <c r="Z87" i="9" s="1"/>
  <c r="Y217" i="9"/>
  <c r="Y218" i="9" s="1"/>
  <c r="Y219" i="9" s="1"/>
  <c r="Y87" i="9" s="1"/>
  <c r="X217" i="9"/>
  <c r="X218" i="9" s="1"/>
  <c r="X219" i="9" s="1"/>
  <c r="X87" i="9" s="1"/>
  <c r="W217" i="9"/>
  <c r="W218" i="9" s="1"/>
  <c r="W219" i="9" s="1"/>
  <c r="W87" i="9" s="1"/>
  <c r="V217" i="9"/>
  <c r="V218" i="9" s="1"/>
  <c r="V219" i="9" s="1"/>
  <c r="V87" i="9" s="1"/>
  <c r="U217" i="9"/>
  <c r="U218" i="9" s="1"/>
  <c r="U219" i="9" s="1"/>
  <c r="U87" i="9" s="1"/>
  <c r="T217" i="9"/>
  <c r="T218" i="9" s="1"/>
  <c r="T219" i="9" s="1"/>
  <c r="T87" i="9" s="1"/>
  <c r="S217" i="9"/>
  <c r="S218" i="9" s="1"/>
  <c r="S219" i="9" s="1"/>
  <c r="S87" i="9" s="1"/>
  <c r="R217" i="9"/>
  <c r="R218" i="9" s="1"/>
  <c r="R219" i="9" s="1"/>
  <c r="R87" i="9" s="1"/>
  <c r="Q217" i="9"/>
  <c r="Q218" i="9" s="1"/>
  <c r="Q219" i="9" s="1"/>
  <c r="Q87" i="9" s="1"/>
  <c r="P217" i="9"/>
  <c r="P218" i="9" s="1"/>
  <c r="P219" i="9" s="1"/>
  <c r="P87" i="9" s="1"/>
  <c r="O217" i="9"/>
  <c r="O218" i="9" s="1"/>
  <c r="O219" i="9" s="1"/>
  <c r="O87" i="9" s="1"/>
  <c r="N217" i="9"/>
  <c r="N218" i="9" s="1"/>
  <c r="N219" i="9" s="1"/>
  <c r="N87" i="9" s="1"/>
  <c r="M217" i="9"/>
  <c r="M218" i="9" s="1"/>
  <c r="M219" i="9" s="1"/>
  <c r="M87" i="9" s="1"/>
  <c r="L217" i="9"/>
  <c r="L218" i="9" s="1"/>
  <c r="L219" i="9" s="1"/>
  <c r="L87" i="9" s="1"/>
  <c r="K217" i="9"/>
  <c r="K218" i="9" s="1"/>
  <c r="K219" i="9" s="1"/>
  <c r="K87" i="9" s="1"/>
  <c r="J217" i="9"/>
  <c r="J218" i="9" s="1"/>
  <c r="J219" i="9" s="1"/>
  <c r="J87" i="9" s="1"/>
  <c r="I217" i="9"/>
  <c r="I218" i="9" s="1"/>
  <c r="I219" i="9" s="1"/>
  <c r="I87" i="9" s="1"/>
  <c r="H217" i="9"/>
  <c r="H218" i="9" s="1"/>
  <c r="H219" i="9" s="1"/>
  <c r="H87" i="9" s="1"/>
  <c r="G217" i="9"/>
  <c r="G218" i="9" s="1"/>
  <c r="G219" i="9" s="1"/>
  <c r="G87" i="9" s="1"/>
  <c r="F217" i="9"/>
  <c r="F218" i="9" s="1"/>
  <c r="F219" i="9" s="1"/>
  <c r="F87" i="9" s="1"/>
  <c r="E217" i="9"/>
  <c r="E218" i="9" s="1"/>
  <c r="E219" i="9" s="1"/>
  <c r="E87" i="9" s="1"/>
  <c r="D217" i="9"/>
  <c r="D218" i="9" s="1"/>
  <c r="D219" i="9" s="1"/>
  <c r="D87" i="9" s="1"/>
  <c r="C217" i="9"/>
  <c r="CC216" i="9"/>
  <c r="BZ222" i="9"/>
  <c r="BZ223" i="9" s="1"/>
  <c r="BZ224" i="9" s="1"/>
  <c r="BZ94" i="9" s="1"/>
  <c r="BZ95" i="9" s="1"/>
  <c r="BY222" i="9"/>
  <c r="BY223" i="9" s="1"/>
  <c r="BY224" i="9" s="1"/>
  <c r="BY94" i="9" s="1"/>
  <c r="BY95" i="9" s="1"/>
  <c r="BX222" i="9"/>
  <c r="BX223" i="9" s="1"/>
  <c r="BX224" i="9" s="1"/>
  <c r="BX94" i="9" s="1"/>
  <c r="BX95" i="9" s="1"/>
  <c r="BW222" i="9"/>
  <c r="BW223" i="9" s="1"/>
  <c r="BW224" i="9" s="1"/>
  <c r="BW94" i="9" s="1"/>
  <c r="BW95" i="9" s="1"/>
  <c r="BV222" i="9"/>
  <c r="BV223" i="9" s="1"/>
  <c r="BV224" i="9" s="1"/>
  <c r="BV94" i="9" s="1"/>
  <c r="BV95" i="9" s="1"/>
  <c r="BU222" i="9"/>
  <c r="BU223" i="9" s="1"/>
  <c r="BU224" i="9" s="1"/>
  <c r="BU94" i="9" s="1"/>
  <c r="BU95" i="9" s="1"/>
  <c r="BT222" i="9"/>
  <c r="BT223" i="9" s="1"/>
  <c r="BT224" i="9" s="1"/>
  <c r="BT94" i="9" s="1"/>
  <c r="BT95" i="9" s="1"/>
  <c r="BS222" i="9"/>
  <c r="BS223" i="9" s="1"/>
  <c r="BS224" i="9" s="1"/>
  <c r="BS94" i="9" s="1"/>
  <c r="BS95" i="9" s="1"/>
  <c r="BR222" i="9"/>
  <c r="BR223" i="9" s="1"/>
  <c r="BR224" i="9" s="1"/>
  <c r="BR94" i="9" s="1"/>
  <c r="BR95" i="9" s="1"/>
  <c r="BQ222" i="9"/>
  <c r="BQ223" i="9" s="1"/>
  <c r="BQ224" i="9" s="1"/>
  <c r="BQ94" i="9" s="1"/>
  <c r="BQ95" i="9" s="1"/>
  <c r="BP222" i="9"/>
  <c r="BP223" i="9" s="1"/>
  <c r="BP224" i="9" s="1"/>
  <c r="BP94" i="9" s="1"/>
  <c r="BP95" i="9" s="1"/>
  <c r="BO222" i="9"/>
  <c r="BO223" i="9" s="1"/>
  <c r="BO224" i="9" s="1"/>
  <c r="BO94" i="9" s="1"/>
  <c r="BO95" i="9" s="1"/>
  <c r="BN222" i="9"/>
  <c r="BN223" i="9" s="1"/>
  <c r="BN224" i="9" s="1"/>
  <c r="BN94" i="9" s="1"/>
  <c r="BN95" i="9" s="1"/>
  <c r="BM222" i="9"/>
  <c r="BM223" i="9" s="1"/>
  <c r="BM224" i="9" s="1"/>
  <c r="BM94" i="9" s="1"/>
  <c r="BM95" i="9" s="1"/>
  <c r="BL222" i="9"/>
  <c r="BL223" i="9" s="1"/>
  <c r="BL224" i="9" s="1"/>
  <c r="BL94" i="9" s="1"/>
  <c r="BL95" i="9" s="1"/>
  <c r="BK222" i="9"/>
  <c r="BK223" i="9" s="1"/>
  <c r="BK224" i="9" s="1"/>
  <c r="BK94" i="9" s="1"/>
  <c r="BK95" i="9" s="1"/>
  <c r="BJ222" i="9"/>
  <c r="BJ223" i="9" s="1"/>
  <c r="BJ224" i="9" s="1"/>
  <c r="BJ94" i="9" s="1"/>
  <c r="BJ95" i="9" s="1"/>
  <c r="BI222" i="9"/>
  <c r="BI223" i="9" s="1"/>
  <c r="BI224" i="9" s="1"/>
  <c r="BH222" i="9"/>
  <c r="BH223" i="9" s="1"/>
  <c r="BH224" i="9" s="1"/>
  <c r="BG222" i="9"/>
  <c r="BG223" i="9" s="1"/>
  <c r="BG224" i="9" s="1"/>
  <c r="BG94" i="9" s="1"/>
  <c r="BG95" i="9" s="1"/>
  <c r="BF222" i="9"/>
  <c r="BF223" i="9" s="1"/>
  <c r="BF224" i="9" s="1"/>
  <c r="BF94" i="9" s="1"/>
  <c r="BF95" i="9" s="1"/>
  <c r="BE222" i="9"/>
  <c r="BE223" i="9" s="1"/>
  <c r="BE224" i="9" s="1"/>
  <c r="BE94" i="9" s="1"/>
  <c r="BE95" i="9" s="1"/>
  <c r="BD222" i="9"/>
  <c r="BD223" i="9" s="1"/>
  <c r="BD224" i="9" s="1"/>
  <c r="BD94" i="9" s="1"/>
  <c r="BD95" i="9" s="1"/>
  <c r="BC222" i="9"/>
  <c r="BC223" i="9" s="1"/>
  <c r="BC224" i="9" s="1"/>
  <c r="BC94" i="9" s="1"/>
  <c r="BC95" i="9" s="1"/>
  <c r="BB222" i="9"/>
  <c r="BB223" i="9" s="1"/>
  <c r="BB224" i="9" s="1"/>
  <c r="BB94" i="9" s="1"/>
  <c r="BB95" i="9" s="1"/>
  <c r="BA222" i="9"/>
  <c r="BA223" i="9" s="1"/>
  <c r="BA224" i="9" s="1"/>
  <c r="BA94" i="9" s="1"/>
  <c r="BA95" i="9" s="1"/>
  <c r="AZ222" i="9"/>
  <c r="AZ223" i="9" s="1"/>
  <c r="AZ224" i="9" s="1"/>
  <c r="AZ94" i="9" s="1"/>
  <c r="AZ95" i="9" s="1"/>
  <c r="AY222" i="9"/>
  <c r="AY223" i="9" s="1"/>
  <c r="AY224" i="9" s="1"/>
  <c r="AY94" i="9" s="1"/>
  <c r="AY95" i="9" s="1"/>
  <c r="AX222" i="9"/>
  <c r="AX223" i="9" s="1"/>
  <c r="AX224" i="9" s="1"/>
  <c r="AX94" i="9" s="1"/>
  <c r="AX95" i="9" s="1"/>
  <c r="AW222" i="9"/>
  <c r="AW223" i="9" s="1"/>
  <c r="AW224" i="9" s="1"/>
  <c r="AW94" i="9" s="1"/>
  <c r="AW95" i="9" s="1"/>
  <c r="AV222" i="9"/>
  <c r="AV223" i="9" s="1"/>
  <c r="AV224" i="9" s="1"/>
  <c r="AV94" i="9" s="1"/>
  <c r="AV95" i="9" s="1"/>
  <c r="AU222" i="9"/>
  <c r="AU223" i="9" s="1"/>
  <c r="AU224" i="9" s="1"/>
  <c r="AU94" i="9" s="1"/>
  <c r="AU95" i="9" s="1"/>
  <c r="AT222" i="9"/>
  <c r="AT223" i="9" s="1"/>
  <c r="AT224" i="9" s="1"/>
  <c r="AT94" i="9" s="1"/>
  <c r="AT95" i="9" s="1"/>
  <c r="AS222" i="9"/>
  <c r="AS223" i="9" s="1"/>
  <c r="AS224" i="9" s="1"/>
  <c r="AS94" i="9" s="1"/>
  <c r="AS95" i="9" s="1"/>
  <c r="AR222" i="9"/>
  <c r="AR223" i="9" s="1"/>
  <c r="AR224" i="9" s="1"/>
  <c r="AR94" i="9" s="1"/>
  <c r="AR95" i="9" s="1"/>
  <c r="AQ222" i="9"/>
  <c r="AQ223" i="9" s="1"/>
  <c r="AQ224" i="9" s="1"/>
  <c r="AQ94" i="9" s="1"/>
  <c r="AQ95" i="9" s="1"/>
  <c r="AP222" i="9"/>
  <c r="AP223" i="9" s="1"/>
  <c r="AP224" i="9" s="1"/>
  <c r="AP94" i="9" s="1"/>
  <c r="AP95" i="9" s="1"/>
  <c r="AO222" i="9"/>
  <c r="AO223" i="9" s="1"/>
  <c r="AO224" i="9" s="1"/>
  <c r="AO94" i="9" s="1"/>
  <c r="AO95" i="9" s="1"/>
  <c r="AN222" i="9"/>
  <c r="AN223" i="9" s="1"/>
  <c r="AN224" i="9" s="1"/>
  <c r="AN94" i="9" s="1"/>
  <c r="AN95" i="9" s="1"/>
  <c r="AM222" i="9"/>
  <c r="AM223" i="9" s="1"/>
  <c r="AM224" i="9" s="1"/>
  <c r="AM94" i="9" s="1"/>
  <c r="AM95" i="9" s="1"/>
  <c r="AL222" i="9"/>
  <c r="AL223" i="9" s="1"/>
  <c r="AL224" i="9" s="1"/>
  <c r="AL94" i="9" s="1"/>
  <c r="AL95" i="9" s="1"/>
  <c r="AK222" i="9"/>
  <c r="AK223" i="9" s="1"/>
  <c r="AK224" i="9" s="1"/>
  <c r="AK94" i="9" s="1"/>
  <c r="AK95" i="9" s="1"/>
  <c r="AJ222" i="9"/>
  <c r="AJ223" i="9" s="1"/>
  <c r="AJ224" i="9" s="1"/>
  <c r="AJ94" i="9" s="1"/>
  <c r="AJ95" i="9" s="1"/>
  <c r="AI222" i="9"/>
  <c r="AI223" i="9" s="1"/>
  <c r="AI224" i="9" s="1"/>
  <c r="AI94" i="9" s="1"/>
  <c r="AI95" i="9" s="1"/>
  <c r="AH222" i="9"/>
  <c r="AH223" i="9" s="1"/>
  <c r="AH224" i="9" s="1"/>
  <c r="AH94" i="9" s="1"/>
  <c r="AH95" i="9" s="1"/>
  <c r="AG222" i="9"/>
  <c r="AG223" i="9" s="1"/>
  <c r="AG224" i="9" s="1"/>
  <c r="AG94" i="9" s="1"/>
  <c r="AG95" i="9" s="1"/>
  <c r="AF222" i="9"/>
  <c r="AF223" i="9" s="1"/>
  <c r="AF224" i="9" s="1"/>
  <c r="AF94" i="9" s="1"/>
  <c r="AF95" i="9" s="1"/>
  <c r="AD222" i="9"/>
  <c r="AD223" i="9" s="1"/>
  <c r="AD224" i="9" s="1"/>
  <c r="AD94" i="9" s="1"/>
  <c r="AD95" i="9" s="1"/>
  <c r="AC222" i="9"/>
  <c r="AC223" i="9" s="1"/>
  <c r="AC224" i="9" s="1"/>
  <c r="AC94" i="9" s="1"/>
  <c r="AC95" i="9" s="1"/>
  <c r="AB222" i="9"/>
  <c r="AB223" i="9" s="1"/>
  <c r="AB224" i="9" s="1"/>
  <c r="AB94" i="9" s="1"/>
  <c r="AB95" i="9" s="1"/>
  <c r="AA222" i="9"/>
  <c r="AA223" i="9" s="1"/>
  <c r="AA224" i="9" s="1"/>
  <c r="AA94" i="9" s="1"/>
  <c r="AA95" i="9" s="1"/>
  <c r="Z222" i="9"/>
  <c r="Z223" i="9" s="1"/>
  <c r="Z224" i="9" s="1"/>
  <c r="Z94" i="9" s="1"/>
  <c r="Z95" i="9" s="1"/>
  <c r="Y222" i="9"/>
  <c r="Y223" i="9" s="1"/>
  <c r="Y224" i="9" s="1"/>
  <c r="Y94" i="9" s="1"/>
  <c r="Y95" i="9" s="1"/>
  <c r="X222" i="9"/>
  <c r="X223" i="9" s="1"/>
  <c r="X224" i="9" s="1"/>
  <c r="X94" i="9" s="1"/>
  <c r="X95" i="9" s="1"/>
  <c r="W222" i="9"/>
  <c r="W223" i="9" s="1"/>
  <c r="W224" i="9" s="1"/>
  <c r="W94" i="9" s="1"/>
  <c r="W95" i="9" s="1"/>
  <c r="V222" i="9"/>
  <c r="V223" i="9" s="1"/>
  <c r="V224" i="9" s="1"/>
  <c r="V94" i="9" s="1"/>
  <c r="V95" i="9" s="1"/>
  <c r="U222" i="9"/>
  <c r="U223" i="9" s="1"/>
  <c r="U224" i="9" s="1"/>
  <c r="U94" i="9" s="1"/>
  <c r="U95" i="9" s="1"/>
  <c r="T222" i="9"/>
  <c r="T223" i="9" s="1"/>
  <c r="T224" i="9" s="1"/>
  <c r="T94" i="9" s="1"/>
  <c r="T95" i="9" s="1"/>
  <c r="S222" i="9"/>
  <c r="S223" i="9" s="1"/>
  <c r="S224" i="9" s="1"/>
  <c r="S94" i="9" s="1"/>
  <c r="S95" i="9" s="1"/>
  <c r="R222" i="9"/>
  <c r="R223" i="9" s="1"/>
  <c r="R224" i="9" s="1"/>
  <c r="R94" i="9" s="1"/>
  <c r="R95" i="9" s="1"/>
  <c r="Q222" i="9"/>
  <c r="Q223" i="9" s="1"/>
  <c r="Q224" i="9" s="1"/>
  <c r="Q94" i="9" s="1"/>
  <c r="Q95" i="9" s="1"/>
  <c r="P222" i="9"/>
  <c r="P223" i="9" s="1"/>
  <c r="P224" i="9" s="1"/>
  <c r="P94" i="9" s="1"/>
  <c r="P95" i="9" s="1"/>
  <c r="O222" i="9"/>
  <c r="O223" i="9" s="1"/>
  <c r="O224" i="9" s="1"/>
  <c r="O94" i="9" s="1"/>
  <c r="O95" i="9" s="1"/>
  <c r="N222" i="9"/>
  <c r="N223" i="9" s="1"/>
  <c r="N224" i="9" s="1"/>
  <c r="N94" i="9" s="1"/>
  <c r="N95" i="9" s="1"/>
  <c r="M222" i="9"/>
  <c r="M223" i="9" s="1"/>
  <c r="M224" i="9" s="1"/>
  <c r="M94" i="9" s="1"/>
  <c r="M95" i="9" s="1"/>
  <c r="L222" i="9"/>
  <c r="L223" i="9" s="1"/>
  <c r="L224" i="9" s="1"/>
  <c r="L94" i="9" s="1"/>
  <c r="L95" i="9" s="1"/>
  <c r="K222" i="9"/>
  <c r="K223" i="9" s="1"/>
  <c r="K224" i="9" s="1"/>
  <c r="K94" i="9" s="1"/>
  <c r="K95" i="9" s="1"/>
  <c r="J222" i="9"/>
  <c r="J223" i="9" s="1"/>
  <c r="J224" i="9" s="1"/>
  <c r="J94" i="9" s="1"/>
  <c r="J95" i="9" s="1"/>
  <c r="I222" i="9"/>
  <c r="I223" i="9" s="1"/>
  <c r="I224" i="9" s="1"/>
  <c r="I94" i="9" s="1"/>
  <c r="I95" i="9" s="1"/>
  <c r="H222" i="9"/>
  <c r="H223" i="9" s="1"/>
  <c r="H224" i="9" s="1"/>
  <c r="H94" i="9" s="1"/>
  <c r="H95" i="9" s="1"/>
  <c r="G222" i="9"/>
  <c r="G223" i="9" s="1"/>
  <c r="G224" i="9" s="1"/>
  <c r="G94" i="9" s="1"/>
  <c r="G95" i="9" s="1"/>
  <c r="F222" i="9"/>
  <c r="F223" i="9" s="1"/>
  <c r="F224" i="9" s="1"/>
  <c r="F94" i="9" s="1"/>
  <c r="F95" i="9" s="1"/>
  <c r="E222" i="9"/>
  <c r="E223" i="9" s="1"/>
  <c r="E224" i="9" s="1"/>
  <c r="E94" i="9" s="1"/>
  <c r="E95" i="9" s="1"/>
  <c r="D222" i="9"/>
  <c r="D223" i="9" s="1"/>
  <c r="D224" i="9" s="1"/>
  <c r="D94" i="9" s="1"/>
  <c r="D95" i="9" s="1"/>
  <c r="C222" i="9"/>
  <c r="CC221" i="9"/>
  <c r="BZ227" i="9"/>
  <c r="BZ228" i="9" s="1"/>
  <c r="BZ229" i="9" s="1"/>
  <c r="BZ98" i="9" s="1"/>
  <c r="BZ99" i="9" s="1"/>
  <c r="BY227" i="9"/>
  <c r="BY228" i="9" s="1"/>
  <c r="BY229" i="9" s="1"/>
  <c r="BY98" i="9" s="1"/>
  <c r="BY99" i="9" s="1"/>
  <c r="BX227" i="9"/>
  <c r="BX228" i="9" s="1"/>
  <c r="BX229" i="9" s="1"/>
  <c r="BX98" i="9" s="1"/>
  <c r="BX99" i="9" s="1"/>
  <c r="BW227" i="9"/>
  <c r="BW228" i="9" s="1"/>
  <c r="BW229" i="9" s="1"/>
  <c r="BW98" i="9" s="1"/>
  <c r="BW99" i="9" s="1"/>
  <c r="BV227" i="9"/>
  <c r="BV228" i="9" s="1"/>
  <c r="BV229" i="9" s="1"/>
  <c r="BV98" i="9" s="1"/>
  <c r="BV99" i="9" s="1"/>
  <c r="BU227" i="9"/>
  <c r="BU228" i="9" s="1"/>
  <c r="BU229" i="9" s="1"/>
  <c r="BU98" i="9" s="1"/>
  <c r="BU99" i="9" s="1"/>
  <c r="BT227" i="9"/>
  <c r="BT228" i="9" s="1"/>
  <c r="BT229" i="9" s="1"/>
  <c r="BT98" i="9" s="1"/>
  <c r="BT99" i="9" s="1"/>
  <c r="BS227" i="9"/>
  <c r="BS228" i="9" s="1"/>
  <c r="BS229" i="9" s="1"/>
  <c r="BS98" i="9" s="1"/>
  <c r="BS99" i="9" s="1"/>
  <c r="BR227" i="9"/>
  <c r="BR228" i="9" s="1"/>
  <c r="BR229" i="9" s="1"/>
  <c r="BR98" i="9" s="1"/>
  <c r="BR99" i="9" s="1"/>
  <c r="BQ227" i="9"/>
  <c r="BQ228" i="9" s="1"/>
  <c r="BQ229" i="9" s="1"/>
  <c r="BQ98" i="9" s="1"/>
  <c r="BQ99" i="9" s="1"/>
  <c r="BP227" i="9"/>
  <c r="BP228" i="9" s="1"/>
  <c r="BP229" i="9" s="1"/>
  <c r="BP98" i="9" s="1"/>
  <c r="BP99" i="9" s="1"/>
  <c r="BO227" i="9"/>
  <c r="BO228" i="9" s="1"/>
  <c r="BO229" i="9" s="1"/>
  <c r="BO98" i="9" s="1"/>
  <c r="BO99" i="9" s="1"/>
  <c r="BN227" i="9"/>
  <c r="BN228" i="9" s="1"/>
  <c r="BN229" i="9" s="1"/>
  <c r="BN98" i="9" s="1"/>
  <c r="BN99" i="9" s="1"/>
  <c r="BM227" i="9"/>
  <c r="BM228" i="9" s="1"/>
  <c r="BM229" i="9" s="1"/>
  <c r="BM98" i="9" s="1"/>
  <c r="BM99" i="9" s="1"/>
  <c r="BL227" i="9"/>
  <c r="BL228" i="9" s="1"/>
  <c r="BL229" i="9" s="1"/>
  <c r="BL98" i="9" s="1"/>
  <c r="BL99" i="9" s="1"/>
  <c r="BK227" i="9"/>
  <c r="BK228" i="9" s="1"/>
  <c r="BK229" i="9" s="1"/>
  <c r="BK98" i="9" s="1"/>
  <c r="BK99" i="9" s="1"/>
  <c r="BJ227" i="9"/>
  <c r="BJ228" i="9" s="1"/>
  <c r="BJ229" i="9" s="1"/>
  <c r="BJ98" i="9" s="1"/>
  <c r="BJ99" i="9" s="1"/>
  <c r="BI227" i="9"/>
  <c r="BI228" i="9" s="1"/>
  <c r="BI229" i="9" s="1"/>
  <c r="BI98" i="9" s="1"/>
  <c r="BI99" i="9" s="1"/>
  <c r="BH227" i="9"/>
  <c r="BH228" i="9" s="1"/>
  <c r="BH229" i="9" s="1"/>
  <c r="BG227" i="9"/>
  <c r="BG228" i="9" s="1"/>
  <c r="BG229" i="9" s="1"/>
  <c r="BG98" i="9" s="1"/>
  <c r="BG99" i="9" s="1"/>
  <c r="BF227" i="9"/>
  <c r="BF228" i="9" s="1"/>
  <c r="BF229" i="9" s="1"/>
  <c r="BF98" i="9" s="1"/>
  <c r="BF99" i="9" s="1"/>
  <c r="BE227" i="9"/>
  <c r="BE228" i="9" s="1"/>
  <c r="BE229" i="9" s="1"/>
  <c r="BE98" i="9" s="1"/>
  <c r="BE99" i="9" s="1"/>
  <c r="BD227" i="9"/>
  <c r="BD228" i="9" s="1"/>
  <c r="BD229" i="9" s="1"/>
  <c r="BD98" i="9" s="1"/>
  <c r="BD99" i="9" s="1"/>
  <c r="BC227" i="9"/>
  <c r="BC228" i="9" s="1"/>
  <c r="BC229" i="9" s="1"/>
  <c r="BC98" i="9" s="1"/>
  <c r="BC99" i="9" s="1"/>
  <c r="BB227" i="9"/>
  <c r="BB228" i="9" s="1"/>
  <c r="BB229" i="9" s="1"/>
  <c r="BB98" i="9" s="1"/>
  <c r="BB99" i="9" s="1"/>
  <c r="BA227" i="9"/>
  <c r="BA228" i="9" s="1"/>
  <c r="BA229" i="9" s="1"/>
  <c r="BA98" i="9" s="1"/>
  <c r="BA99" i="9" s="1"/>
  <c r="AZ227" i="9"/>
  <c r="AZ228" i="9" s="1"/>
  <c r="AZ229" i="9" s="1"/>
  <c r="AZ98" i="9" s="1"/>
  <c r="AZ99" i="9" s="1"/>
  <c r="AY227" i="9"/>
  <c r="AY228" i="9" s="1"/>
  <c r="AY229" i="9" s="1"/>
  <c r="AY98" i="9" s="1"/>
  <c r="AY99" i="9" s="1"/>
  <c r="AX227" i="9"/>
  <c r="AX228" i="9" s="1"/>
  <c r="AX229" i="9" s="1"/>
  <c r="AX98" i="9" s="1"/>
  <c r="AX99" i="9" s="1"/>
  <c r="AW227" i="9"/>
  <c r="AW228" i="9" s="1"/>
  <c r="AW229" i="9" s="1"/>
  <c r="AW98" i="9" s="1"/>
  <c r="AW99" i="9" s="1"/>
  <c r="AV227" i="9"/>
  <c r="AV228" i="9" s="1"/>
  <c r="AV229" i="9" s="1"/>
  <c r="AV98" i="9" s="1"/>
  <c r="AV99" i="9" s="1"/>
  <c r="AU227" i="9"/>
  <c r="AU228" i="9" s="1"/>
  <c r="AU229" i="9" s="1"/>
  <c r="AU98" i="9" s="1"/>
  <c r="AU99" i="9" s="1"/>
  <c r="AT227" i="9"/>
  <c r="AT228" i="9" s="1"/>
  <c r="AT229" i="9" s="1"/>
  <c r="AT98" i="9" s="1"/>
  <c r="AT99" i="9" s="1"/>
  <c r="AS227" i="9"/>
  <c r="AS228" i="9" s="1"/>
  <c r="AS229" i="9" s="1"/>
  <c r="AS98" i="9" s="1"/>
  <c r="AS99" i="9" s="1"/>
  <c r="AR227" i="9"/>
  <c r="AR228" i="9" s="1"/>
  <c r="AR229" i="9" s="1"/>
  <c r="AR98" i="9" s="1"/>
  <c r="AR99" i="9" s="1"/>
  <c r="AQ227" i="9"/>
  <c r="AQ228" i="9" s="1"/>
  <c r="AQ229" i="9" s="1"/>
  <c r="AQ98" i="9" s="1"/>
  <c r="AQ99" i="9" s="1"/>
  <c r="AP227" i="9"/>
  <c r="AP228" i="9" s="1"/>
  <c r="AP229" i="9" s="1"/>
  <c r="AP98" i="9" s="1"/>
  <c r="AP99" i="9" s="1"/>
  <c r="AO227" i="9"/>
  <c r="AO228" i="9" s="1"/>
  <c r="AO229" i="9" s="1"/>
  <c r="AO98" i="9" s="1"/>
  <c r="AO99" i="9" s="1"/>
  <c r="AN227" i="9"/>
  <c r="AN228" i="9" s="1"/>
  <c r="AN229" i="9" s="1"/>
  <c r="AN98" i="9" s="1"/>
  <c r="AN99" i="9" s="1"/>
  <c r="AM227" i="9"/>
  <c r="AM228" i="9" s="1"/>
  <c r="AM229" i="9" s="1"/>
  <c r="AM98" i="9" s="1"/>
  <c r="AM99" i="9" s="1"/>
  <c r="AL227" i="9"/>
  <c r="AL228" i="9" s="1"/>
  <c r="AL229" i="9" s="1"/>
  <c r="AL98" i="9" s="1"/>
  <c r="AL99" i="9" s="1"/>
  <c r="AK227" i="9"/>
  <c r="AK228" i="9" s="1"/>
  <c r="AK229" i="9" s="1"/>
  <c r="AK98" i="9" s="1"/>
  <c r="AK99" i="9" s="1"/>
  <c r="AJ227" i="9"/>
  <c r="AJ228" i="9" s="1"/>
  <c r="AJ229" i="9" s="1"/>
  <c r="AJ98" i="9" s="1"/>
  <c r="AJ99" i="9" s="1"/>
  <c r="AI227" i="9"/>
  <c r="AI228" i="9" s="1"/>
  <c r="AI229" i="9" s="1"/>
  <c r="AI98" i="9" s="1"/>
  <c r="AI99" i="9" s="1"/>
  <c r="AH227" i="9"/>
  <c r="AH228" i="9" s="1"/>
  <c r="AH229" i="9" s="1"/>
  <c r="AH98" i="9" s="1"/>
  <c r="AH99" i="9" s="1"/>
  <c r="AG227" i="9"/>
  <c r="AG228" i="9" s="1"/>
  <c r="AG229" i="9" s="1"/>
  <c r="AG98" i="9" s="1"/>
  <c r="AG99" i="9" s="1"/>
  <c r="AF227" i="9"/>
  <c r="AF228" i="9" s="1"/>
  <c r="AF229" i="9" s="1"/>
  <c r="AF98" i="9" s="1"/>
  <c r="AF99" i="9" s="1"/>
  <c r="AD227" i="9"/>
  <c r="AD228" i="9" s="1"/>
  <c r="AD229" i="9" s="1"/>
  <c r="AD98" i="9" s="1"/>
  <c r="AD99" i="9" s="1"/>
  <c r="AC227" i="9"/>
  <c r="AC228" i="9" s="1"/>
  <c r="AC229" i="9" s="1"/>
  <c r="AC98" i="9" s="1"/>
  <c r="AC99" i="9" s="1"/>
  <c r="AB227" i="9"/>
  <c r="AB228" i="9" s="1"/>
  <c r="AB229" i="9" s="1"/>
  <c r="AB98" i="9" s="1"/>
  <c r="AB99" i="9" s="1"/>
  <c r="AA227" i="9"/>
  <c r="AA228" i="9" s="1"/>
  <c r="AA229" i="9" s="1"/>
  <c r="AA98" i="9" s="1"/>
  <c r="AA99" i="9" s="1"/>
  <c r="Z227" i="9"/>
  <c r="Z228" i="9" s="1"/>
  <c r="Z229" i="9" s="1"/>
  <c r="Z98" i="9" s="1"/>
  <c r="Z99" i="9" s="1"/>
  <c r="Y227" i="9"/>
  <c r="Y228" i="9" s="1"/>
  <c r="Y229" i="9" s="1"/>
  <c r="Y98" i="9" s="1"/>
  <c r="Y99" i="9" s="1"/>
  <c r="X227" i="9"/>
  <c r="X228" i="9" s="1"/>
  <c r="X229" i="9" s="1"/>
  <c r="X98" i="9" s="1"/>
  <c r="X99" i="9" s="1"/>
  <c r="W227" i="9"/>
  <c r="W228" i="9" s="1"/>
  <c r="W229" i="9" s="1"/>
  <c r="W98" i="9" s="1"/>
  <c r="W99" i="9" s="1"/>
  <c r="V227" i="9"/>
  <c r="V228" i="9" s="1"/>
  <c r="V229" i="9" s="1"/>
  <c r="V98" i="9" s="1"/>
  <c r="V99" i="9" s="1"/>
  <c r="U227" i="9"/>
  <c r="U228" i="9" s="1"/>
  <c r="U229" i="9" s="1"/>
  <c r="U98" i="9" s="1"/>
  <c r="U99" i="9" s="1"/>
  <c r="T227" i="9"/>
  <c r="T228" i="9" s="1"/>
  <c r="T229" i="9" s="1"/>
  <c r="T98" i="9" s="1"/>
  <c r="T99" i="9" s="1"/>
  <c r="S227" i="9"/>
  <c r="S228" i="9" s="1"/>
  <c r="S229" i="9" s="1"/>
  <c r="S98" i="9" s="1"/>
  <c r="S99" i="9" s="1"/>
  <c r="R227" i="9"/>
  <c r="R228" i="9" s="1"/>
  <c r="R229" i="9" s="1"/>
  <c r="R98" i="9" s="1"/>
  <c r="R99" i="9" s="1"/>
  <c r="Q227" i="9"/>
  <c r="Q228" i="9" s="1"/>
  <c r="Q229" i="9" s="1"/>
  <c r="Q98" i="9" s="1"/>
  <c r="Q99" i="9" s="1"/>
  <c r="P227" i="9"/>
  <c r="P228" i="9" s="1"/>
  <c r="P229" i="9" s="1"/>
  <c r="P98" i="9" s="1"/>
  <c r="P99" i="9" s="1"/>
  <c r="O227" i="9"/>
  <c r="O228" i="9" s="1"/>
  <c r="O229" i="9" s="1"/>
  <c r="O98" i="9" s="1"/>
  <c r="O99" i="9" s="1"/>
  <c r="N227" i="9"/>
  <c r="N228" i="9" s="1"/>
  <c r="N229" i="9" s="1"/>
  <c r="N98" i="9" s="1"/>
  <c r="N99" i="9" s="1"/>
  <c r="M227" i="9"/>
  <c r="M228" i="9" s="1"/>
  <c r="M229" i="9" s="1"/>
  <c r="M98" i="9" s="1"/>
  <c r="M99" i="9" s="1"/>
  <c r="L227" i="9"/>
  <c r="L228" i="9" s="1"/>
  <c r="L229" i="9" s="1"/>
  <c r="L98" i="9" s="1"/>
  <c r="L99" i="9" s="1"/>
  <c r="K227" i="9"/>
  <c r="K228" i="9" s="1"/>
  <c r="K229" i="9" s="1"/>
  <c r="K98" i="9" s="1"/>
  <c r="K99" i="9" s="1"/>
  <c r="J227" i="9"/>
  <c r="J228" i="9" s="1"/>
  <c r="J229" i="9" s="1"/>
  <c r="J98" i="9" s="1"/>
  <c r="J99" i="9" s="1"/>
  <c r="I227" i="9"/>
  <c r="I228" i="9" s="1"/>
  <c r="I229" i="9" s="1"/>
  <c r="I98" i="9" s="1"/>
  <c r="I99" i="9" s="1"/>
  <c r="H227" i="9"/>
  <c r="H228" i="9" s="1"/>
  <c r="H229" i="9" s="1"/>
  <c r="H98" i="9" s="1"/>
  <c r="H99" i="9" s="1"/>
  <c r="G227" i="9"/>
  <c r="G228" i="9" s="1"/>
  <c r="G229" i="9" s="1"/>
  <c r="G98" i="9" s="1"/>
  <c r="G99" i="9" s="1"/>
  <c r="F227" i="9"/>
  <c r="F228" i="9" s="1"/>
  <c r="F229" i="9" s="1"/>
  <c r="F98" i="9" s="1"/>
  <c r="F99" i="9" s="1"/>
  <c r="E227" i="9"/>
  <c r="E228" i="9" s="1"/>
  <c r="E229" i="9" s="1"/>
  <c r="E98" i="9" s="1"/>
  <c r="E99" i="9" s="1"/>
  <c r="D227" i="9"/>
  <c r="D228" i="9" s="1"/>
  <c r="D229" i="9" s="1"/>
  <c r="D98" i="9" s="1"/>
  <c r="D99" i="9" s="1"/>
  <c r="C227" i="9"/>
  <c r="CC226" i="9"/>
  <c r="BZ234" i="9"/>
  <c r="BZ237" i="9" s="1"/>
  <c r="BZ240" i="9" s="1"/>
  <c r="BZ102" i="9" s="1"/>
  <c r="BY234" i="9"/>
  <c r="BY237" i="9" s="1"/>
  <c r="BY240" i="9" s="1"/>
  <c r="BY102" i="9" s="1"/>
  <c r="BX234" i="9"/>
  <c r="BX237" i="9" s="1"/>
  <c r="BX240" i="9" s="1"/>
  <c r="BX102" i="9" s="1"/>
  <c r="BW234" i="9"/>
  <c r="BW237" i="9" s="1"/>
  <c r="BW240" i="9" s="1"/>
  <c r="BW102" i="9" s="1"/>
  <c r="BV234" i="9"/>
  <c r="BV237" i="9" s="1"/>
  <c r="BV240" i="9" s="1"/>
  <c r="BV102" i="9" s="1"/>
  <c r="BU234" i="9"/>
  <c r="BU237" i="9" s="1"/>
  <c r="BU240" i="9" s="1"/>
  <c r="BU102" i="9" s="1"/>
  <c r="BT234" i="9"/>
  <c r="BT237" i="9" s="1"/>
  <c r="BT240" i="9" s="1"/>
  <c r="BT102" i="9" s="1"/>
  <c r="BS234" i="9"/>
  <c r="BS237" i="9" s="1"/>
  <c r="BS240" i="9" s="1"/>
  <c r="BS102" i="9" s="1"/>
  <c r="BR234" i="9"/>
  <c r="BR237" i="9" s="1"/>
  <c r="BR240" i="9" s="1"/>
  <c r="BR102" i="9" s="1"/>
  <c r="BQ234" i="9"/>
  <c r="BQ237" i="9" s="1"/>
  <c r="BQ240" i="9" s="1"/>
  <c r="BQ102" i="9" s="1"/>
  <c r="BP234" i="9"/>
  <c r="BP237" i="9" s="1"/>
  <c r="BP240" i="9" s="1"/>
  <c r="BP102" i="9" s="1"/>
  <c r="BO234" i="9"/>
  <c r="BO237" i="9" s="1"/>
  <c r="BO240" i="9" s="1"/>
  <c r="BO102" i="9" s="1"/>
  <c r="BN234" i="9"/>
  <c r="BN237" i="9" s="1"/>
  <c r="BN240" i="9" s="1"/>
  <c r="BN102" i="9" s="1"/>
  <c r="BM234" i="9"/>
  <c r="BM237" i="9" s="1"/>
  <c r="BM240" i="9" s="1"/>
  <c r="BM102" i="9" s="1"/>
  <c r="BL234" i="9"/>
  <c r="BL237" i="9" s="1"/>
  <c r="BL240" i="9" s="1"/>
  <c r="BL102" i="9" s="1"/>
  <c r="BK234" i="9"/>
  <c r="BK237" i="9" s="1"/>
  <c r="BK240" i="9" s="1"/>
  <c r="BK102" i="9" s="1"/>
  <c r="BJ234" i="9"/>
  <c r="BJ237" i="9" s="1"/>
  <c r="BJ240" i="9" s="1"/>
  <c r="BJ102" i="9" s="1"/>
  <c r="BI234" i="9"/>
  <c r="BI237" i="9" s="1"/>
  <c r="BI240" i="9" s="1"/>
  <c r="BI102" i="9" s="1"/>
  <c r="BH234" i="9"/>
  <c r="BH237" i="9" s="1"/>
  <c r="BH240" i="9" s="1"/>
  <c r="BH102" i="9" s="1"/>
  <c r="BH104" i="9" s="1"/>
  <c r="BG234" i="9"/>
  <c r="BG237" i="9" s="1"/>
  <c r="BG240" i="9" s="1"/>
  <c r="BG102" i="9" s="1"/>
  <c r="BF234" i="9"/>
  <c r="BF237" i="9" s="1"/>
  <c r="BF240" i="9" s="1"/>
  <c r="BF102" i="9" s="1"/>
  <c r="BE234" i="9"/>
  <c r="BE237" i="9" s="1"/>
  <c r="BE240" i="9" s="1"/>
  <c r="BE102" i="9" s="1"/>
  <c r="BD234" i="9"/>
  <c r="BD237" i="9" s="1"/>
  <c r="BD240" i="9" s="1"/>
  <c r="BD102" i="9" s="1"/>
  <c r="BC234" i="9"/>
  <c r="BC237" i="9" s="1"/>
  <c r="BC240" i="9" s="1"/>
  <c r="BC102" i="9" s="1"/>
  <c r="BB234" i="9"/>
  <c r="BB237" i="9" s="1"/>
  <c r="BB240" i="9" s="1"/>
  <c r="BB102" i="9" s="1"/>
  <c r="BA234" i="9"/>
  <c r="BA237" i="9" s="1"/>
  <c r="BA240" i="9" s="1"/>
  <c r="BA102" i="9" s="1"/>
  <c r="AZ234" i="9"/>
  <c r="AZ237" i="9" s="1"/>
  <c r="AZ240" i="9" s="1"/>
  <c r="AZ102" i="9" s="1"/>
  <c r="AY234" i="9"/>
  <c r="AY237" i="9" s="1"/>
  <c r="AY240" i="9" s="1"/>
  <c r="AY102" i="9" s="1"/>
  <c r="AX234" i="9"/>
  <c r="AX237" i="9" s="1"/>
  <c r="AX240" i="9" s="1"/>
  <c r="AX102" i="9" s="1"/>
  <c r="AW234" i="9"/>
  <c r="AW237" i="9" s="1"/>
  <c r="AW240" i="9" s="1"/>
  <c r="AW102" i="9" s="1"/>
  <c r="AV234" i="9"/>
  <c r="AV237" i="9" s="1"/>
  <c r="AV240" i="9" s="1"/>
  <c r="AV102" i="9" s="1"/>
  <c r="AU234" i="9"/>
  <c r="AU237" i="9" s="1"/>
  <c r="AU240" i="9" s="1"/>
  <c r="AU102" i="9" s="1"/>
  <c r="AT234" i="9"/>
  <c r="AT237" i="9" s="1"/>
  <c r="AT240" i="9" s="1"/>
  <c r="AT102" i="9" s="1"/>
  <c r="AS234" i="9"/>
  <c r="AS237" i="9" s="1"/>
  <c r="AS240" i="9" s="1"/>
  <c r="AS102" i="9" s="1"/>
  <c r="AR234" i="9"/>
  <c r="AR237" i="9" s="1"/>
  <c r="AR240" i="9" s="1"/>
  <c r="AR102" i="9" s="1"/>
  <c r="AQ234" i="9"/>
  <c r="AQ237" i="9" s="1"/>
  <c r="AQ240" i="9" s="1"/>
  <c r="AQ102" i="9" s="1"/>
  <c r="AP234" i="9"/>
  <c r="AP237" i="9" s="1"/>
  <c r="AP240" i="9" s="1"/>
  <c r="AP102" i="9" s="1"/>
  <c r="AO234" i="9"/>
  <c r="AO237" i="9" s="1"/>
  <c r="AO240" i="9" s="1"/>
  <c r="AO102" i="9" s="1"/>
  <c r="AN234" i="9"/>
  <c r="AN237" i="9" s="1"/>
  <c r="AN240" i="9" s="1"/>
  <c r="AN102" i="9" s="1"/>
  <c r="AM234" i="9"/>
  <c r="AM237" i="9" s="1"/>
  <c r="AM240" i="9" s="1"/>
  <c r="AM102" i="9" s="1"/>
  <c r="AL234" i="9"/>
  <c r="AL237" i="9" s="1"/>
  <c r="AL240" i="9" s="1"/>
  <c r="AL102" i="9" s="1"/>
  <c r="AK234" i="9"/>
  <c r="AK237" i="9" s="1"/>
  <c r="AK240" i="9" s="1"/>
  <c r="AK102" i="9" s="1"/>
  <c r="AJ234" i="9"/>
  <c r="AJ237" i="9" s="1"/>
  <c r="AJ240" i="9" s="1"/>
  <c r="AJ102" i="9" s="1"/>
  <c r="AI234" i="9"/>
  <c r="AI237" i="9" s="1"/>
  <c r="AI240" i="9" s="1"/>
  <c r="AI102" i="9" s="1"/>
  <c r="AH234" i="9"/>
  <c r="AH237" i="9" s="1"/>
  <c r="AH240" i="9" s="1"/>
  <c r="AH102" i="9" s="1"/>
  <c r="AG234" i="9"/>
  <c r="AG237" i="9" s="1"/>
  <c r="AG240" i="9" s="1"/>
  <c r="AG102" i="9" s="1"/>
  <c r="AF234" i="9"/>
  <c r="AF237" i="9" s="1"/>
  <c r="AF240" i="9" s="1"/>
  <c r="AF102" i="9" s="1"/>
  <c r="AD234" i="9"/>
  <c r="AD237" i="9" s="1"/>
  <c r="AD240" i="9" s="1"/>
  <c r="AD102" i="9" s="1"/>
  <c r="AC234" i="9"/>
  <c r="AC237" i="9" s="1"/>
  <c r="AC240" i="9" s="1"/>
  <c r="AC102" i="9" s="1"/>
  <c r="AB234" i="9"/>
  <c r="AB237" i="9" s="1"/>
  <c r="AB240" i="9" s="1"/>
  <c r="AB102" i="9" s="1"/>
  <c r="AA234" i="9"/>
  <c r="AA237" i="9" s="1"/>
  <c r="AA240" i="9" s="1"/>
  <c r="AA102" i="9" s="1"/>
  <c r="Z234" i="9"/>
  <c r="Z237" i="9" s="1"/>
  <c r="Z240" i="9" s="1"/>
  <c r="Z102" i="9" s="1"/>
  <c r="Y234" i="9"/>
  <c r="Y237" i="9" s="1"/>
  <c r="Y240" i="9" s="1"/>
  <c r="Y102" i="9" s="1"/>
  <c r="X234" i="9"/>
  <c r="X237" i="9" s="1"/>
  <c r="X240" i="9" s="1"/>
  <c r="X102" i="9" s="1"/>
  <c r="W234" i="9"/>
  <c r="W237" i="9" s="1"/>
  <c r="W240" i="9" s="1"/>
  <c r="W102" i="9" s="1"/>
  <c r="V234" i="9"/>
  <c r="V237" i="9" s="1"/>
  <c r="V240" i="9" s="1"/>
  <c r="V102" i="9" s="1"/>
  <c r="U234" i="9"/>
  <c r="U237" i="9" s="1"/>
  <c r="U240" i="9" s="1"/>
  <c r="U102" i="9" s="1"/>
  <c r="T234" i="9"/>
  <c r="T237" i="9" s="1"/>
  <c r="T240" i="9" s="1"/>
  <c r="T102" i="9" s="1"/>
  <c r="S234" i="9"/>
  <c r="S237" i="9" s="1"/>
  <c r="S240" i="9" s="1"/>
  <c r="S102" i="9" s="1"/>
  <c r="R234" i="9"/>
  <c r="R237" i="9" s="1"/>
  <c r="R240" i="9" s="1"/>
  <c r="R102" i="9" s="1"/>
  <c r="Q234" i="9"/>
  <c r="Q237" i="9" s="1"/>
  <c r="Q240" i="9" s="1"/>
  <c r="Q102" i="9" s="1"/>
  <c r="P234" i="9"/>
  <c r="P237" i="9" s="1"/>
  <c r="P240" i="9" s="1"/>
  <c r="P102" i="9" s="1"/>
  <c r="O234" i="9"/>
  <c r="O237" i="9" s="1"/>
  <c r="O240" i="9" s="1"/>
  <c r="O102" i="9" s="1"/>
  <c r="N234" i="9"/>
  <c r="N237" i="9" s="1"/>
  <c r="N240" i="9" s="1"/>
  <c r="N102" i="9" s="1"/>
  <c r="M234" i="9"/>
  <c r="M237" i="9" s="1"/>
  <c r="M240" i="9" s="1"/>
  <c r="M102" i="9" s="1"/>
  <c r="L234" i="9"/>
  <c r="L237" i="9" s="1"/>
  <c r="L240" i="9" s="1"/>
  <c r="L102" i="9" s="1"/>
  <c r="K234" i="9"/>
  <c r="K237" i="9" s="1"/>
  <c r="K240" i="9" s="1"/>
  <c r="K102" i="9" s="1"/>
  <c r="J234" i="9"/>
  <c r="J237" i="9" s="1"/>
  <c r="J240" i="9" s="1"/>
  <c r="J102" i="9" s="1"/>
  <c r="I234" i="9"/>
  <c r="I237" i="9" s="1"/>
  <c r="I240" i="9" s="1"/>
  <c r="I102" i="9" s="1"/>
  <c r="H234" i="9"/>
  <c r="H237" i="9" s="1"/>
  <c r="H240" i="9" s="1"/>
  <c r="H102" i="9" s="1"/>
  <c r="G234" i="9"/>
  <c r="G237" i="9" s="1"/>
  <c r="G240" i="9" s="1"/>
  <c r="G102" i="9" s="1"/>
  <c r="F234" i="9"/>
  <c r="F237" i="9" s="1"/>
  <c r="F240" i="9" s="1"/>
  <c r="F102" i="9" s="1"/>
  <c r="E234" i="9"/>
  <c r="E237" i="9" s="1"/>
  <c r="E240" i="9" s="1"/>
  <c r="E102" i="9" s="1"/>
  <c r="D234" i="9"/>
  <c r="D237" i="9" s="1"/>
  <c r="D240" i="9" s="1"/>
  <c r="D102" i="9" s="1"/>
  <c r="C234" i="9"/>
  <c r="CC231" i="9"/>
  <c r="BZ235" i="9"/>
  <c r="BZ238" i="9" s="1"/>
  <c r="BZ241" i="9" s="1"/>
  <c r="BZ103" i="9" s="1"/>
  <c r="BY235" i="9"/>
  <c r="BY238" i="9" s="1"/>
  <c r="BY241" i="9" s="1"/>
  <c r="BY103" i="9" s="1"/>
  <c r="BX235" i="9"/>
  <c r="BX238" i="9" s="1"/>
  <c r="BX241" i="9" s="1"/>
  <c r="BX103" i="9" s="1"/>
  <c r="BW235" i="9"/>
  <c r="BW238" i="9" s="1"/>
  <c r="BW241" i="9" s="1"/>
  <c r="BW103" i="9" s="1"/>
  <c r="BV235" i="9"/>
  <c r="BV238" i="9" s="1"/>
  <c r="BV241" i="9" s="1"/>
  <c r="BV103" i="9" s="1"/>
  <c r="BU235" i="9"/>
  <c r="BU238" i="9" s="1"/>
  <c r="BU241" i="9" s="1"/>
  <c r="BU103" i="9" s="1"/>
  <c r="BT235" i="9"/>
  <c r="BT238" i="9" s="1"/>
  <c r="BT241" i="9" s="1"/>
  <c r="BT103" i="9" s="1"/>
  <c r="BS235" i="9"/>
  <c r="BS238" i="9" s="1"/>
  <c r="BS241" i="9" s="1"/>
  <c r="BS103" i="9" s="1"/>
  <c r="BR235" i="9"/>
  <c r="BR238" i="9" s="1"/>
  <c r="BR241" i="9" s="1"/>
  <c r="BR103" i="9" s="1"/>
  <c r="BQ235" i="9"/>
  <c r="BQ238" i="9" s="1"/>
  <c r="BQ241" i="9" s="1"/>
  <c r="BQ103" i="9" s="1"/>
  <c r="BP235" i="9"/>
  <c r="BP238" i="9" s="1"/>
  <c r="BP241" i="9" s="1"/>
  <c r="BP103" i="9" s="1"/>
  <c r="BO235" i="9"/>
  <c r="BO238" i="9" s="1"/>
  <c r="BO241" i="9" s="1"/>
  <c r="BO103" i="9" s="1"/>
  <c r="BN235" i="9"/>
  <c r="BN238" i="9" s="1"/>
  <c r="BN241" i="9" s="1"/>
  <c r="BN103" i="9" s="1"/>
  <c r="BM235" i="9"/>
  <c r="BM238" i="9" s="1"/>
  <c r="BM241" i="9" s="1"/>
  <c r="BM103" i="9" s="1"/>
  <c r="BL235" i="9"/>
  <c r="BL238" i="9" s="1"/>
  <c r="BL241" i="9" s="1"/>
  <c r="BL103" i="9" s="1"/>
  <c r="BK235" i="9"/>
  <c r="BK238" i="9" s="1"/>
  <c r="BK241" i="9" s="1"/>
  <c r="BK103" i="9" s="1"/>
  <c r="BJ235" i="9"/>
  <c r="BJ238" i="9" s="1"/>
  <c r="BJ241" i="9" s="1"/>
  <c r="BJ103" i="9" s="1"/>
  <c r="BI235" i="9"/>
  <c r="BI238" i="9" s="1"/>
  <c r="BI241" i="9" s="1"/>
  <c r="BI103" i="9" s="1"/>
  <c r="BH235" i="9"/>
  <c r="BH238" i="9" s="1"/>
  <c r="BH241" i="9" s="1"/>
  <c r="BG235" i="9"/>
  <c r="BG238" i="9" s="1"/>
  <c r="BG241" i="9" s="1"/>
  <c r="BG103" i="9" s="1"/>
  <c r="BF235" i="9"/>
  <c r="BF238" i="9" s="1"/>
  <c r="BF241" i="9" s="1"/>
  <c r="BF103" i="9" s="1"/>
  <c r="BE235" i="9"/>
  <c r="BE238" i="9" s="1"/>
  <c r="BE241" i="9" s="1"/>
  <c r="BE103" i="9" s="1"/>
  <c r="BD235" i="9"/>
  <c r="BD238" i="9" s="1"/>
  <c r="BD241" i="9" s="1"/>
  <c r="BD103" i="9" s="1"/>
  <c r="BC235" i="9"/>
  <c r="BC238" i="9" s="1"/>
  <c r="BC241" i="9" s="1"/>
  <c r="BC103" i="9" s="1"/>
  <c r="BB235" i="9"/>
  <c r="BB238" i="9" s="1"/>
  <c r="BB241" i="9" s="1"/>
  <c r="BB103" i="9" s="1"/>
  <c r="BA235" i="9"/>
  <c r="BA238" i="9" s="1"/>
  <c r="BA241" i="9" s="1"/>
  <c r="BA103" i="9" s="1"/>
  <c r="AZ235" i="9"/>
  <c r="AZ238" i="9" s="1"/>
  <c r="AZ241" i="9" s="1"/>
  <c r="AZ103" i="9" s="1"/>
  <c r="AY235" i="9"/>
  <c r="AY238" i="9" s="1"/>
  <c r="AY241" i="9" s="1"/>
  <c r="AY103" i="9" s="1"/>
  <c r="AX235" i="9"/>
  <c r="AX238" i="9" s="1"/>
  <c r="AX241" i="9" s="1"/>
  <c r="AX103" i="9" s="1"/>
  <c r="AW235" i="9"/>
  <c r="AW238" i="9" s="1"/>
  <c r="AW241" i="9" s="1"/>
  <c r="AW103" i="9" s="1"/>
  <c r="AV235" i="9"/>
  <c r="AV238" i="9" s="1"/>
  <c r="AV241" i="9" s="1"/>
  <c r="AV103" i="9" s="1"/>
  <c r="AU235" i="9"/>
  <c r="AU238" i="9" s="1"/>
  <c r="AU241" i="9" s="1"/>
  <c r="AU103" i="9" s="1"/>
  <c r="AT235" i="9"/>
  <c r="AT238" i="9" s="1"/>
  <c r="AT241" i="9" s="1"/>
  <c r="AT103" i="9" s="1"/>
  <c r="AS235" i="9"/>
  <c r="AS238" i="9" s="1"/>
  <c r="AS241" i="9" s="1"/>
  <c r="AS103" i="9" s="1"/>
  <c r="AR235" i="9"/>
  <c r="AR238" i="9" s="1"/>
  <c r="AR241" i="9" s="1"/>
  <c r="AR103" i="9" s="1"/>
  <c r="AQ235" i="9"/>
  <c r="AQ238" i="9" s="1"/>
  <c r="AQ241" i="9" s="1"/>
  <c r="AQ103" i="9" s="1"/>
  <c r="AP235" i="9"/>
  <c r="AP238" i="9" s="1"/>
  <c r="AP241" i="9" s="1"/>
  <c r="AP103" i="9" s="1"/>
  <c r="AO235" i="9"/>
  <c r="AO238" i="9" s="1"/>
  <c r="AO241" i="9" s="1"/>
  <c r="AO103" i="9" s="1"/>
  <c r="AN235" i="9"/>
  <c r="AN238" i="9" s="1"/>
  <c r="AN241" i="9" s="1"/>
  <c r="AN103" i="9" s="1"/>
  <c r="AM235" i="9"/>
  <c r="AM238" i="9" s="1"/>
  <c r="AM241" i="9" s="1"/>
  <c r="AM103" i="9" s="1"/>
  <c r="AL235" i="9"/>
  <c r="AL238" i="9" s="1"/>
  <c r="AL241" i="9" s="1"/>
  <c r="AL103" i="9" s="1"/>
  <c r="AK235" i="9"/>
  <c r="AK238" i="9" s="1"/>
  <c r="AK241" i="9" s="1"/>
  <c r="AK103" i="9" s="1"/>
  <c r="AJ235" i="9"/>
  <c r="AJ238" i="9" s="1"/>
  <c r="AJ241" i="9" s="1"/>
  <c r="AJ103" i="9" s="1"/>
  <c r="AI235" i="9"/>
  <c r="AI238" i="9" s="1"/>
  <c r="AI241" i="9" s="1"/>
  <c r="AI103" i="9" s="1"/>
  <c r="AH235" i="9"/>
  <c r="AH238" i="9" s="1"/>
  <c r="AH241" i="9" s="1"/>
  <c r="AH103" i="9" s="1"/>
  <c r="AG235" i="9"/>
  <c r="AG238" i="9" s="1"/>
  <c r="AG241" i="9" s="1"/>
  <c r="AG103" i="9" s="1"/>
  <c r="AF235" i="9"/>
  <c r="AF238" i="9" s="1"/>
  <c r="AF241" i="9" s="1"/>
  <c r="AF103" i="9" s="1"/>
  <c r="AD235" i="9"/>
  <c r="AD238" i="9" s="1"/>
  <c r="AD241" i="9" s="1"/>
  <c r="AD103" i="9" s="1"/>
  <c r="AC235" i="9"/>
  <c r="AC238" i="9" s="1"/>
  <c r="AC241" i="9" s="1"/>
  <c r="AC103" i="9" s="1"/>
  <c r="AB235" i="9"/>
  <c r="AB238" i="9" s="1"/>
  <c r="AB241" i="9" s="1"/>
  <c r="AB103" i="9" s="1"/>
  <c r="AA235" i="9"/>
  <c r="AA238" i="9" s="1"/>
  <c r="AA241" i="9" s="1"/>
  <c r="AA103" i="9" s="1"/>
  <c r="Z235" i="9"/>
  <c r="Z238" i="9" s="1"/>
  <c r="Z241" i="9" s="1"/>
  <c r="Z103" i="9" s="1"/>
  <c r="Y235" i="9"/>
  <c r="Y238" i="9" s="1"/>
  <c r="Y241" i="9" s="1"/>
  <c r="Y103" i="9" s="1"/>
  <c r="X235" i="9"/>
  <c r="X238" i="9" s="1"/>
  <c r="X241" i="9" s="1"/>
  <c r="X103" i="9" s="1"/>
  <c r="W235" i="9"/>
  <c r="W238" i="9" s="1"/>
  <c r="W241" i="9" s="1"/>
  <c r="W103" i="9" s="1"/>
  <c r="V235" i="9"/>
  <c r="V238" i="9" s="1"/>
  <c r="V241" i="9" s="1"/>
  <c r="V103" i="9" s="1"/>
  <c r="U235" i="9"/>
  <c r="U238" i="9" s="1"/>
  <c r="U241" i="9" s="1"/>
  <c r="U103" i="9" s="1"/>
  <c r="T235" i="9"/>
  <c r="T238" i="9" s="1"/>
  <c r="T241" i="9" s="1"/>
  <c r="T103" i="9" s="1"/>
  <c r="S235" i="9"/>
  <c r="S238" i="9" s="1"/>
  <c r="S241" i="9" s="1"/>
  <c r="S103" i="9" s="1"/>
  <c r="R235" i="9"/>
  <c r="R238" i="9" s="1"/>
  <c r="R241" i="9" s="1"/>
  <c r="R103" i="9" s="1"/>
  <c r="Q235" i="9"/>
  <c r="Q238" i="9" s="1"/>
  <c r="Q241" i="9" s="1"/>
  <c r="Q103" i="9" s="1"/>
  <c r="P235" i="9"/>
  <c r="P238" i="9" s="1"/>
  <c r="P241" i="9" s="1"/>
  <c r="P103" i="9" s="1"/>
  <c r="O235" i="9"/>
  <c r="O238" i="9" s="1"/>
  <c r="O241" i="9" s="1"/>
  <c r="O103" i="9" s="1"/>
  <c r="N235" i="9"/>
  <c r="N238" i="9" s="1"/>
  <c r="N241" i="9" s="1"/>
  <c r="N103" i="9" s="1"/>
  <c r="M235" i="9"/>
  <c r="M238" i="9" s="1"/>
  <c r="M241" i="9" s="1"/>
  <c r="M103" i="9" s="1"/>
  <c r="L235" i="9"/>
  <c r="L238" i="9" s="1"/>
  <c r="L241" i="9" s="1"/>
  <c r="L103" i="9" s="1"/>
  <c r="K235" i="9"/>
  <c r="K238" i="9" s="1"/>
  <c r="K241" i="9" s="1"/>
  <c r="K103" i="9" s="1"/>
  <c r="J235" i="9"/>
  <c r="J238" i="9" s="1"/>
  <c r="J241" i="9" s="1"/>
  <c r="J103" i="9" s="1"/>
  <c r="I235" i="9"/>
  <c r="I238" i="9" s="1"/>
  <c r="I241" i="9" s="1"/>
  <c r="I103" i="9" s="1"/>
  <c r="H235" i="9"/>
  <c r="H238" i="9" s="1"/>
  <c r="H241" i="9" s="1"/>
  <c r="H103" i="9" s="1"/>
  <c r="G235" i="9"/>
  <c r="G238" i="9" s="1"/>
  <c r="G241" i="9" s="1"/>
  <c r="G103" i="9" s="1"/>
  <c r="F235" i="9"/>
  <c r="F238" i="9" s="1"/>
  <c r="F241" i="9" s="1"/>
  <c r="F103" i="9" s="1"/>
  <c r="E235" i="9"/>
  <c r="E238" i="9" s="1"/>
  <c r="E241" i="9" s="1"/>
  <c r="E103" i="9" s="1"/>
  <c r="D235" i="9"/>
  <c r="D238" i="9" s="1"/>
  <c r="D241" i="9" s="1"/>
  <c r="D103" i="9" s="1"/>
  <c r="C235" i="9"/>
  <c r="CC232" i="9"/>
  <c r="BZ246" i="9"/>
  <c r="BZ249" i="9" s="1"/>
  <c r="BZ252" i="9" s="1"/>
  <c r="BZ106" i="9" s="1"/>
  <c r="BY246" i="9"/>
  <c r="BY249" i="9" s="1"/>
  <c r="BY252" i="9" s="1"/>
  <c r="BY106" i="9" s="1"/>
  <c r="BX246" i="9"/>
  <c r="BX249" i="9" s="1"/>
  <c r="BX252" i="9" s="1"/>
  <c r="BX106" i="9" s="1"/>
  <c r="BW246" i="9"/>
  <c r="BW249" i="9" s="1"/>
  <c r="BW252" i="9" s="1"/>
  <c r="BW106" i="9" s="1"/>
  <c r="BV246" i="9"/>
  <c r="BV249" i="9" s="1"/>
  <c r="BV252" i="9" s="1"/>
  <c r="BV106" i="9" s="1"/>
  <c r="BU246" i="9"/>
  <c r="BU249" i="9" s="1"/>
  <c r="BU252" i="9" s="1"/>
  <c r="BU106" i="9" s="1"/>
  <c r="BT246" i="9"/>
  <c r="BT249" i="9" s="1"/>
  <c r="BT252" i="9" s="1"/>
  <c r="BT106" i="9" s="1"/>
  <c r="BS246" i="9"/>
  <c r="BS249" i="9" s="1"/>
  <c r="BS252" i="9" s="1"/>
  <c r="BS106" i="9" s="1"/>
  <c r="BR246" i="9"/>
  <c r="BR249" i="9" s="1"/>
  <c r="BR252" i="9" s="1"/>
  <c r="BR106" i="9" s="1"/>
  <c r="BQ246" i="9"/>
  <c r="BQ249" i="9" s="1"/>
  <c r="BQ252" i="9" s="1"/>
  <c r="BQ106" i="9" s="1"/>
  <c r="BP246" i="9"/>
  <c r="BP249" i="9" s="1"/>
  <c r="BP252" i="9" s="1"/>
  <c r="BP106" i="9" s="1"/>
  <c r="BO246" i="9"/>
  <c r="BO249" i="9" s="1"/>
  <c r="BO252" i="9" s="1"/>
  <c r="BO106" i="9" s="1"/>
  <c r="BN246" i="9"/>
  <c r="BN249" i="9" s="1"/>
  <c r="BN252" i="9" s="1"/>
  <c r="BN106" i="9" s="1"/>
  <c r="BM246" i="9"/>
  <c r="BM249" i="9" s="1"/>
  <c r="BM252" i="9" s="1"/>
  <c r="BM106" i="9" s="1"/>
  <c r="BL246" i="9"/>
  <c r="BL249" i="9" s="1"/>
  <c r="BL252" i="9" s="1"/>
  <c r="BL106" i="9" s="1"/>
  <c r="BK246" i="9"/>
  <c r="BK249" i="9" s="1"/>
  <c r="BK252" i="9" s="1"/>
  <c r="BK106" i="9" s="1"/>
  <c r="BJ246" i="9"/>
  <c r="BJ249" i="9" s="1"/>
  <c r="BJ252" i="9" s="1"/>
  <c r="BJ106" i="9" s="1"/>
  <c r="BI246" i="9"/>
  <c r="BI249" i="9" s="1"/>
  <c r="BI252" i="9" s="1"/>
  <c r="BI106" i="9" s="1"/>
  <c r="BH246" i="9"/>
  <c r="BH249" i="9" s="1"/>
  <c r="BH252" i="9" s="1"/>
  <c r="BH106" i="9" s="1"/>
  <c r="BG246" i="9"/>
  <c r="BG249" i="9" s="1"/>
  <c r="BG252" i="9" s="1"/>
  <c r="BG106" i="9" s="1"/>
  <c r="BF246" i="9"/>
  <c r="BF249" i="9" s="1"/>
  <c r="BF252" i="9" s="1"/>
  <c r="BF106" i="9" s="1"/>
  <c r="BE246" i="9"/>
  <c r="BE249" i="9" s="1"/>
  <c r="BE252" i="9" s="1"/>
  <c r="BE106" i="9" s="1"/>
  <c r="BD246" i="9"/>
  <c r="BD249" i="9" s="1"/>
  <c r="BD252" i="9" s="1"/>
  <c r="BD106" i="9" s="1"/>
  <c r="BC246" i="9"/>
  <c r="BC249" i="9" s="1"/>
  <c r="BC252" i="9" s="1"/>
  <c r="BC106" i="9" s="1"/>
  <c r="BB246" i="9"/>
  <c r="BB249" i="9" s="1"/>
  <c r="BB252" i="9" s="1"/>
  <c r="BB106" i="9" s="1"/>
  <c r="BA246" i="9"/>
  <c r="BA249" i="9" s="1"/>
  <c r="BA252" i="9" s="1"/>
  <c r="BA106" i="9" s="1"/>
  <c r="AZ246" i="9"/>
  <c r="AZ249" i="9" s="1"/>
  <c r="AZ252" i="9" s="1"/>
  <c r="AZ106" i="9" s="1"/>
  <c r="AY246" i="9"/>
  <c r="AY249" i="9" s="1"/>
  <c r="AY252" i="9" s="1"/>
  <c r="AY106" i="9" s="1"/>
  <c r="AX246" i="9"/>
  <c r="AX249" i="9" s="1"/>
  <c r="AX252" i="9" s="1"/>
  <c r="AX106" i="9" s="1"/>
  <c r="AW246" i="9"/>
  <c r="AW249" i="9" s="1"/>
  <c r="AW252" i="9" s="1"/>
  <c r="AW106" i="9" s="1"/>
  <c r="AV246" i="9"/>
  <c r="AV249" i="9" s="1"/>
  <c r="AV252" i="9" s="1"/>
  <c r="AV106" i="9" s="1"/>
  <c r="AU246" i="9"/>
  <c r="AU249" i="9" s="1"/>
  <c r="AU252" i="9" s="1"/>
  <c r="AU106" i="9" s="1"/>
  <c r="AT246" i="9"/>
  <c r="AT249" i="9" s="1"/>
  <c r="AT252" i="9" s="1"/>
  <c r="AT106" i="9" s="1"/>
  <c r="AS246" i="9"/>
  <c r="AS249" i="9" s="1"/>
  <c r="AS252" i="9" s="1"/>
  <c r="AS106" i="9" s="1"/>
  <c r="AR246" i="9"/>
  <c r="AR249" i="9" s="1"/>
  <c r="AR252" i="9" s="1"/>
  <c r="AR106" i="9" s="1"/>
  <c r="AQ246" i="9"/>
  <c r="AQ249" i="9" s="1"/>
  <c r="AQ252" i="9" s="1"/>
  <c r="AQ106" i="9" s="1"/>
  <c r="AP246" i="9"/>
  <c r="AP249" i="9" s="1"/>
  <c r="AP252" i="9" s="1"/>
  <c r="AP106" i="9" s="1"/>
  <c r="AO246" i="9"/>
  <c r="AO249" i="9" s="1"/>
  <c r="AO252" i="9" s="1"/>
  <c r="AO106" i="9" s="1"/>
  <c r="AN246" i="9"/>
  <c r="AN249" i="9" s="1"/>
  <c r="AN252" i="9" s="1"/>
  <c r="AN106" i="9" s="1"/>
  <c r="AM246" i="9"/>
  <c r="AM249" i="9" s="1"/>
  <c r="AM252" i="9" s="1"/>
  <c r="AM106" i="9" s="1"/>
  <c r="AL246" i="9"/>
  <c r="AL249" i="9" s="1"/>
  <c r="AL252" i="9" s="1"/>
  <c r="AL106" i="9" s="1"/>
  <c r="AK246" i="9"/>
  <c r="AK249" i="9" s="1"/>
  <c r="AK252" i="9" s="1"/>
  <c r="AK106" i="9" s="1"/>
  <c r="AJ246" i="9"/>
  <c r="AJ249" i="9" s="1"/>
  <c r="AJ252" i="9" s="1"/>
  <c r="AJ106" i="9" s="1"/>
  <c r="AI246" i="9"/>
  <c r="AI249" i="9" s="1"/>
  <c r="AI252" i="9" s="1"/>
  <c r="AI106" i="9" s="1"/>
  <c r="AH246" i="9"/>
  <c r="AH249" i="9" s="1"/>
  <c r="AH252" i="9" s="1"/>
  <c r="AH106" i="9" s="1"/>
  <c r="AG246" i="9"/>
  <c r="AG249" i="9" s="1"/>
  <c r="AG252" i="9" s="1"/>
  <c r="AG106" i="9" s="1"/>
  <c r="AF246" i="9"/>
  <c r="AF249" i="9" s="1"/>
  <c r="AF252" i="9" s="1"/>
  <c r="AF106" i="9" s="1"/>
  <c r="AD246" i="9"/>
  <c r="AD249" i="9" s="1"/>
  <c r="AD252" i="9" s="1"/>
  <c r="AD106" i="9" s="1"/>
  <c r="AC246" i="9"/>
  <c r="AC249" i="9" s="1"/>
  <c r="AC252" i="9" s="1"/>
  <c r="AC106" i="9" s="1"/>
  <c r="AB246" i="9"/>
  <c r="AB249" i="9" s="1"/>
  <c r="AB252" i="9" s="1"/>
  <c r="AB106" i="9" s="1"/>
  <c r="AA246" i="9"/>
  <c r="AA249" i="9" s="1"/>
  <c r="AA252" i="9" s="1"/>
  <c r="AA106" i="9" s="1"/>
  <c r="Z246" i="9"/>
  <c r="Z249" i="9" s="1"/>
  <c r="Z252" i="9" s="1"/>
  <c r="Z106" i="9" s="1"/>
  <c r="Y246" i="9"/>
  <c r="Y249" i="9" s="1"/>
  <c r="Y252" i="9" s="1"/>
  <c r="Y106" i="9" s="1"/>
  <c r="X246" i="9"/>
  <c r="X249" i="9" s="1"/>
  <c r="X252" i="9" s="1"/>
  <c r="X106" i="9" s="1"/>
  <c r="W246" i="9"/>
  <c r="W249" i="9" s="1"/>
  <c r="W252" i="9" s="1"/>
  <c r="W106" i="9" s="1"/>
  <c r="V246" i="9"/>
  <c r="V249" i="9" s="1"/>
  <c r="V252" i="9" s="1"/>
  <c r="V106" i="9" s="1"/>
  <c r="U246" i="9"/>
  <c r="U249" i="9" s="1"/>
  <c r="U252" i="9" s="1"/>
  <c r="U106" i="9" s="1"/>
  <c r="T246" i="9"/>
  <c r="T249" i="9" s="1"/>
  <c r="T252" i="9" s="1"/>
  <c r="T106" i="9" s="1"/>
  <c r="S246" i="9"/>
  <c r="S249" i="9" s="1"/>
  <c r="S252" i="9" s="1"/>
  <c r="S106" i="9" s="1"/>
  <c r="R246" i="9"/>
  <c r="R249" i="9" s="1"/>
  <c r="R252" i="9" s="1"/>
  <c r="R106" i="9" s="1"/>
  <c r="Q246" i="9"/>
  <c r="Q249" i="9" s="1"/>
  <c r="Q252" i="9" s="1"/>
  <c r="Q106" i="9" s="1"/>
  <c r="P246" i="9"/>
  <c r="P249" i="9" s="1"/>
  <c r="P252" i="9" s="1"/>
  <c r="P106" i="9" s="1"/>
  <c r="O246" i="9"/>
  <c r="O249" i="9" s="1"/>
  <c r="O252" i="9" s="1"/>
  <c r="O106" i="9" s="1"/>
  <c r="N246" i="9"/>
  <c r="N249" i="9" s="1"/>
  <c r="N252" i="9" s="1"/>
  <c r="N106" i="9" s="1"/>
  <c r="M246" i="9"/>
  <c r="M249" i="9" s="1"/>
  <c r="M252" i="9" s="1"/>
  <c r="M106" i="9" s="1"/>
  <c r="L246" i="9"/>
  <c r="L249" i="9" s="1"/>
  <c r="L252" i="9" s="1"/>
  <c r="L106" i="9" s="1"/>
  <c r="K246" i="9"/>
  <c r="K249" i="9" s="1"/>
  <c r="K252" i="9" s="1"/>
  <c r="K106" i="9" s="1"/>
  <c r="J246" i="9"/>
  <c r="J249" i="9" s="1"/>
  <c r="J252" i="9" s="1"/>
  <c r="J106" i="9" s="1"/>
  <c r="I246" i="9"/>
  <c r="I249" i="9" s="1"/>
  <c r="I252" i="9" s="1"/>
  <c r="I106" i="9" s="1"/>
  <c r="H246" i="9"/>
  <c r="H249" i="9" s="1"/>
  <c r="H252" i="9" s="1"/>
  <c r="H106" i="9" s="1"/>
  <c r="G246" i="9"/>
  <c r="G249" i="9" s="1"/>
  <c r="G252" i="9" s="1"/>
  <c r="G106" i="9" s="1"/>
  <c r="F246" i="9"/>
  <c r="F249" i="9" s="1"/>
  <c r="F252" i="9" s="1"/>
  <c r="F106" i="9" s="1"/>
  <c r="E246" i="9"/>
  <c r="E249" i="9" s="1"/>
  <c r="E252" i="9" s="1"/>
  <c r="E106" i="9" s="1"/>
  <c r="D246" i="9"/>
  <c r="D249" i="9" s="1"/>
  <c r="D252" i="9" s="1"/>
  <c r="D106" i="9" s="1"/>
  <c r="C246" i="9"/>
  <c r="CC243" i="9"/>
  <c r="BZ247" i="9"/>
  <c r="BZ250" i="9" s="1"/>
  <c r="BZ253" i="9" s="1"/>
  <c r="BZ107" i="9" s="1"/>
  <c r="BY247" i="9"/>
  <c r="BY250" i="9" s="1"/>
  <c r="BY253" i="9" s="1"/>
  <c r="BY107" i="9" s="1"/>
  <c r="BX247" i="9"/>
  <c r="BX250" i="9" s="1"/>
  <c r="BX253" i="9" s="1"/>
  <c r="BX107" i="9" s="1"/>
  <c r="BW247" i="9"/>
  <c r="BW250" i="9" s="1"/>
  <c r="BW253" i="9" s="1"/>
  <c r="BW107" i="9" s="1"/>
  <c r="BV247" i="9"/>
  <c r="BV250" i="9" s="1"/>
  <c r="BV253" i="9" s="1"/>
  <c r="BV107" i="9" s="1"/>
  <c r="BU247" i="9"/>
  <c r="BU250" i="9" s="1"/>
  <c r="BU253" i="9" s="1"/>
  <c r="BU107" i="9" s="1"/>
  <c r="BT247" i="9"/>
  <c r="BT250" i="9" s="1"/>
  <c r="BT253" i="9" s="1"/>
  <c r="BT107" i="9" s="1"/>
  <c r="BS247" i="9"/>
  <c r="BS250" i="9" s="1"/>
  <c r="BS253" i="9" s="1"/>
  <c r="BS107" i="9" s="1"/>
  <c r="BR247" i="9"/>
  <c r="BR250" i="9" s="1"/>
  <c r="BR253" i="9" s="1"/>
  <c r="BR107" i="9" s="1"/>
  <c r="BQ247" i="9"/>
  <c r="BQ250" i="9" s="1"/>
  <c r="BQ253" i="9" s="1"/>
  <c r="BQ107" i="9" s="1"/>
  <c r="BP247" i="9"/>
  <c r="BP250" i="9" s="1"/>
  <c r="BP253" i="9" s="1"/>
  <c r="BP107" i="9" s="1"/>
  <c r="BO247" i="9"/>
  <c r="BO250" i="9" s="1"/>
  <c r="BO253" i="9" s="1"/>
  <c r="BO107" i="9" s="1"/>
  <c r="BN247" i="9"/>
  <c r="BN250" i="9" s="1"/>
  <c r="BN253" i="9" s="1"/>
  <c r="BN107" i="9" s="1"/>
  <c r="BM247" i="9"/>
  <c r="BM250" i="9" s="1"/>
  <c r="BM253" i="9" s="1"/>
  <c r="BM107" i="9" s="1"/>
  <c r="BL247" i="9"/>
  <c r="BL250" i="9" s="1"/>
  <c r="BL253" i="9" s="1"/>
  <c r="BL107" i="9" s="1"/>
  <c r="BK247" i="9"/>
  <c r="BK250" i="9" s="1"/>
  <c r="BK253" i="9" s="1"/>
  <c r="BK107" i="9" s="1"/>
  <c r="BJ247" i="9"/>
  <c r="BJ250" i="9" s="1"/>
  <c r="BJ253" i="9" s="1"/>
  <c r="BJ107" i="9" s="1"/>
  <c r="BI247" i="9"/>
  <c r="BI250" i="9" s="1"/>
  <c r="BI253" i="9" s="1"/>
  <c r="BI107" i="9" s="1"/>
  <c r="BH247" i="9"/>
  <c r="BH250" i="9" s="1"/>
  <c r="BH253" i="9" s="1"/>
  <c r="BH107" i="9" s="1"/>
  <c r="BG247" i="9"/>
  <c r="BG250" i="9" s="1"/>
  <c r="BG253" i="9" s="1"/>
  <c r="BG107" i="9" s="1"/>
  <c r="BF247" i="9"/>
  <c r="BF250" i="9" s="1"/>
  <c r="BF253" i="9" s="1"/>
  <c r="BF107" i="9" s="1"/>
  <c r="BE247" i="9"/>
  <c r="BE250" i="9" s="1"/>
  <c r="BE253" i="9" s="1"/>
  <c r="BE107" i="9" s="1"/>
  <c r="BD247" i="9"/>
  <c r="BD250" i="9" s="1"/>
  <c r="BD253" i="9" s="1"/>
  <c r="BD107" i="9" s="1"/>
  <c r="BC247" i="9"/>
  <c r="BC250" i="9" s="1"/>
  <c r="BC253" i="9" s="1"/>
  <c r="BC107" i="9" s="1"/>
  <c r="BB247" i="9"/>
  <c r="BB250" i="9" s="1"/>
  <c r="BB253" i="9" s="1"/>
  <c r="BB107" i="9" s="1"/>
  <c r="BA247" i="9"/>
  <c r="BA250" i="9" s="1"/>
  <c r="BA253" i="9" s="1"/>
  <c r="BA107" i="9" s="1"/>
  <c r="AZ247" i="9"/>
  <c r="AZ250" i="9" s="1"/>
  <c r="AZ253" i="9" s="1"/>
  <c r="AZ107" i="9" s="1"/>
  <c r="AY247" i="9"/>
  <c r="AY250" i="9" s="1"/>
  <c r="AY253" i="9" s="1"/>
  <c r="AY107" i="9" s="1"/>
  <c r="AX247" i="9"/>
  <c r="AX250" i="9" s="1"/>
  <c r="AX253" i="9" s="1"/>
  <c r="AX107" i="9" s="1"/>
  <c r="AW247" i="9"/>
  <c r="AW250" i="9" s="1"/>
  <c r="AW253" i="9" s="1"/>
  <c r="AW107" i="9" s="1"/>
  <c r="AV247" i="9"/>
  <c r="AV250" i="9" s="1"/>
  <c r="AV253" i="9" s="1"/>
  <c r="AV107" i="9" s="1"/>
  <c r="AU247" i="9"/>
  <c r="AU250" i="9" s="1"/>
  <c r="AU253" i="9" s="1"/>
  <c r="AU107" i="9" s="1"/>
  <c r="AT247" i="9"/>
  <c r="AT250" i="9" s="1"/>
  <c r="AT253" i="9" s="1"/>
  <c r="AT107" i="9" s="1"/>
  <c r="AS247" i="9"/>
  <c r="AS250" i="9" s="1"/>
  <c r="AS253" i="9" s="1"/>
  <c r="AS107" i="9" s="1"/>
  <c r="AR247" i="9"/>
  <c r="AR250" i="9" s="1"/>
  <c r="AR253" i="9" s="1"/>
  <c r="AR107" i="9" s="1"/>
  <c r="AQ247" i="9"/>
  <c r="AQ250" i="9" s="1"/>
  <c r="AQ253" i="9" s="1"/>
  <c r="AQ107" i="9" s="1"/>
  <c r="AP247" i="9"/>
  <c r="AP250" i="9" s="1"/>
  <c r="AP253" i="9" s="1"/>
  <c r="AP107" i="9" s="1"/>
  <c r="AO247" i="9"/>
  <c r="AO250" i="9" s="1"/>
  <c r="AO253" i="9" s="1"/>
  <c r="AO107" i="9" s="1"/>
  <c r="AN247" i="9"/>
  <c r="AN250" i="9" s="1"/>
  <c r="AN253" i="9" s="1"/>
  <c r="AN107" i="9" s="1"/>
  <c r="AM247" i="9"/>
  <c r="AM250" i="9" s="1"/>
  <c r="AM253" i="9" s="1"/>
  <c r="AM107" i="9" s="1"/>
  <c r="AL247" i="9"/>
  <c r="AL250" i="9" s="1"/>
  <c r="AL253" i="9" s="1"/>
  <c r="AL107" i="9" s="1"/>
  <c r="AK247" i="9"/>
  <c r="AK250" i="9" s="1"/>
  <c r="AK253" i="9" s="1"/>
  <c r="AK107" i="9" s="1"/>
  <c r="AJ247" i="9"/>
  <c r="AJ250" i="9" s="1"/>
  <c r="AJ253" i="9" s="1"/>
  <c r="AJ107" i="9" s="1"/>
  <c r="AI247" i="9"/>
  <c r="AI250" i="9" s="1"/>
  <c r="AI253" i="9" s="1"/>
  <c r="AI107" i="9" s="1"/>
  <c r="AH247" i="9"/>
  <c r="AH250" i="9" s="1"/>
  <c r="AH253" i="9" s="1"/>
  <c r="AH107" i="9" s="1"/>
  <c r="AG247" i="9"/>
  <c r="AG250" i="9" s="1"/>
  <c r="AG253" i="9" s="1"/>
  <c r="AG107" i="9" s="1"/>
  <c r="AF247" i="9"/>
  <c r="AF250" i="9" s="1"/>
  <c r="AF253" i="9" s="1"/>
  <c r="AF107" i="9" s="1"/>
  <c r="AD247" i="9"/>
  <c r="AD250" i="9" s="1"/>
  <c r="AD253" i="9" s="1"/>
  <c r="AD107" i="9" s="1"/>
  <c r="AC247" i="9"/>
  <c r="AC250" i="9" s="1"/>
  <c r="AC253" i="9" s="1"/>
  <c r="AC107" i="9" s="1"/>
  <c r="AB247" i="9"/>
  <c r="AB250" i="9" s="1"/>
  <c r="AB253" i="9" s="1"/>
  <c r="AB107" i="9" s="1"/>
  <c r="AA247" i="9"/>
  <c r="AA250" i="9" s="1"/>
  <c r="AA253" i="9" s="1"/>
  <c r="AA107" i="9" s="1"/>
  <c r="Z247" i="9"/>
  <c r="Z250" i="9" s="1"/>
  <c r="Z253" i="9" s="1"/>
  <c r="Z107" i="9" s="1"/>
  <c r="Y247" i="9"/>
  <c r="Y250" i="9" s="1"/>
  <c r="Y253" i="9" s="1"/>
  <c r="Y107" i="9" s="1"/>
  <c r="X247" i="9"/>
  <c r="X250" i="9" s="1"/>
  <c r="X253" i="9" s="1"/>
  <c r="X107" i="9" s="1"/>
  <c r="W247" i="9"/>
  <c r="W250" i="9" s="1"/>
  <c r="W253" i="9" s="1"/>
  <c r="W107" i="9" s="1"/>
  <c r="V247" i="9"/>
  <c r="V250" i="9" s="1"/>
  <c r="V253" i="9" s="1"/>
  <c r="V107" i="9" s="1"/>
  <c r="U247" i="9"/>
  <c r="U250" i="9" s="1"/>
  <c r="U253" i="9" s="1"/>
  <c r="U107" i="9" s="1"/>
  <c r="T247" i="9"/>
  <c r="T250" i="9" s="1"/>
  <c r="T253" i="9" s="1"/>
  <c r="T107" i="9" s="1"/>
  <c r="S247" i="9"/>
  <c r="S250" i="9" s="1"/>
  <c r="S253" i="9" s="1"/>
  <c r="S107" i="9" s="1"/>
  <c r="R247" i="9"/>
  <c r="R250" i="9" s="1"/>
  <c r="R253" i="9" s="1"/>
  <c r="R107" i="9" s="1"/>
  <c r="Q247" i="9"/>
  <c r="Q250" i="9" s="1"/>
  <c r="Q253" i="9" s="1"/>
  <c r="Q107" i="9" s="1"/>
  <c r="P247" i="9"/>
  <c r="P250" i="9" s="1"/>
  <c r="P253" i="9" s="1"/>
  <c r="P107" i="9" s="1"/>
  <c r="O247" i="9"/>
  <c r="O250" i="9" s="1"/>
  <c r="O253" i="9" s="1"/>
  <c r="O107" i="9" s="1"/>
  <c r="N247" i="9"/>
  <c r="N250" i="9" s="1"/>
  <c r="N253" i="9" s="1"/>
  <c r="N107" i="9" s="1"/>
  <c r="M247" i="9"/>
  <c r="M250" i="9" s="1"/>
  <c r="M253" i="9" s="1"/>
  <c r="M107" i="9" s="1"/>
  <c r="L247" i="9"/>
  <c r="L250" i="9" s="1"/>
  <c r="L253" i="9" s="1"/>
  <c r="L107" i="9" s="1"/>
  <c r="K247" i="9"/>
  <c r="K250" i="9" s="1"/>
  <c r="K253" i="9" s="1"/>
  <c r="K107" i="9" s="1"/>
  <c r="J247" i="9"/>
  <c r="J250" i="9" s="1"/>
  <c r="J253" i="9" s="1"/>
  <c r="J107" i="9" s="1"/>
  <c r="I247" i="9"/>
  <c r="I250" i="9" s="1"/>
  <c r="I253" i="9" s="1"/>
  <c r="I107" i="9" s="1"/>
  <c r="H247" i="9"/>
  <c r="H250" i="9" s="1"/>
  <c r="H253" i="9" s="1"/>
  <c r="H107" i="9" s="1"/>
  <c r="G247" i="9"/>
  <c r="G250" i="9" s="1"/>
  <c r="G253" i="9" s="1"/>
  <c r="G107" i="9" s="1"/>
  <c r="F247" i="9"/>
  <c r="F250" i="9" s="1"/>
  <c r="F253" i="9" s="1"/>
  <c r="F107" i="9" s="1"/>
  <c r="E247" i="9"/>
  <c r="E250" i="9" s="1"/>
  <c r="E253" i="9" s="1"/>
  <c r="E107" i="9" s="1"/>
  <c r="D247" i="9"/>
  <c r="D250" i="9" s="1"/>
  <c r="D253" i="9" s="1"/>
  <c r="D107" i="9" s="1"/>
  <c r="C247" i="9"/>
  <c r="CC244" i="9"/>
  <c r="BZ256" i="9"/>
  <c r="BZ257" i="9" s="1"/>
  <c r="BZ258" i="9" s="1"/>
  <c r="BZ122" i="9" s="1"/>
  <c r="BZ124" i="9" s="1"/>
  <c r="BY256" i="9"/>
  <c r="BY257" i="9" s="1"/>
  <c r="BY258" i="9" s="1"/>
  <c r="BY122" i="9" s="1"/>
  <c r="BY124" i="9" s="1"/>
  <c r="BX256" i="9"/>
  <c r="BX257" i="9" s="1"/>
  <c r="BX258" i="9" s="1"/>
  <c r="BX122" i="9" s="1"/>
  <c r="BX124" i="9" s="1"/>
  <c r="BW256" i="9"/>
  <c r="BW257" i="9" s="1"/>
  <c r="BW258" i="9" s="1"/>
  <c r="BW122" i="9" s="1"/>
  <c r="BW124" i="9" s="1"/>
  <c r="BV256" i="9"/>
  <c r="BV257" i="9" s="1"/>
  <c r="BV258" i="9" s="1"/>
  <c r="BV122" i="9" s="1"/>
  <c r="BV124" i="9" s="1"/>
  <c r="BU256" i="9"/>
  <c r="BU257" i="9" s="1"/>
  <c r="BU258" i="9" s="1"/>
  <c r="BU122" i="9" s="1"/>
  <c r="BU124" i="9" s="1"/>
  <c r="BT256" i="9"/>
  <c r="BT257" i="9" s="1"/>
  <c r="BT258" i="9" s="1"/>
  <c r="BT122" i="9" s="1"/>
  <c r="BT124" i="9" s="1"/>
  <c r="BS256" i="9"/>
  <c r="BS257" i="9" s="1"/>
  <c r="BS258" i="9" s="1"/>
  <c r="BS122" i="9" s="1"/>
  <c r="BS124" i="9" s="1"/>
  <c r="BR256" i="9"/>
  <c r="BR257" i="9" s="1"/>
  <c r="BR258" i="9" s="1"/>
  <c r="BR122" i="9" s="1"/>
  <c r="BR124" i="9" s="1"/>
  <c r="BQ256" i="9"/>
  <c r="BQ257" i="9" s="1"/>
  <c r="BQ258" i="9" s="1"/>
  <c r="BQ122" i="9" s="1"/>
  <c r="BQ124" i="9" s="1"/>
  <c r="BP256" i="9"/>
  <c r="BP257" i="9" s="1"/>
  <c r="BP258" i="9" s="1"/>
  <c r="BP122" i="9" s="1"/>
  <c r="BP124" i="9" s="1"/>
  <c r="BO256" i="9"/>
  <c r="BO257" i="9" s="1"/>
  <c r="BO258" i="9" s="1"/>
  <c r="BO122" i="9" s="1"/>
  <c r="BO124" i="9" s="1"/>
  <c r="BN256" i="9"/>
  <c r="BN257" i="9" s="1"/>
  <c r="BN258" i="9" s="1"/>
  <c r="BN122" i="9" s="1"/>
  <c r="BN124" i="9" s="1"/>
  <c r="BM256" i="9"/>
  <c r="BM257" i="9" s="1"/>
  <c r="BM258" i="9" s="1"/>
  <c r="BM122" i="9" s="1"/>
  <c r="BM124" i="9" s="1"/>
  <c r="BL256" i="9"/>
  <c r="BL257" i="9" s="1"/>
  <c r="BL258" i="9" s="1"/>
  <c r="BL122" i="9" s="1"/>
  <c r="BL124" i="9" s="1"/>
  <c r="BK256" i="9"/>
  <c r="BK257" i="9" s="1"/>
  <c r="BK258" i="9" s="1"/>
  <c r="BK122" i="9" s="1"/>
  <c r="BK124" i="9" s="1"/>
  <c r="BJ256" i="9"/>
  <c r="BJ257" i="9" s="1"/>
  <c r="BJ258" i="9" s="1"/>
  <c r="BJ122" i="9" s="1"/>
  <c r="BJ124" i="9" s="1"/>
  <c r="BI256" i="9"/>
  <c r="BI257" i="9" s="1"/>
  <c r="BI258" i="9" s="1"/>
  <c r="BI122" i="9" s="1"/>
  <c r="BI124" i="9" s="1"/>
  <c r="BH256" i="9"/>
  <c r="BH257" i="9" s="1"/>
  <c r="BH258" i="9" s="1"/>
  <c r="BH122" i="9" s="1"/>
  <c r="BH124" i="9" s="1"/>
  <c r="BG256" i="9"/>
  <c r="BG257" i="9" s="1"/>
  <c r="BG258" i="9" s="1"/>
  <c r="BG122" i="9" s="1"/>
  <c r="BG124" i="9" s="1"/>
  <c r="BF256" i="9"/>
  <c r="BF257" i="9" s="1"/>
  <c r="BF258" i="9" s="1"/>
  <c r="BF122" i="9" s="1"/>
  <c r="BF124" i="9" s="1"/>
  <c r="BE256" i="9"/>
  <c r="BE257" i="9" s="1"/>
  <c r="BE258" i="9" s="1"/>
  <c r="BE122" i="9" s="1"/>
  <c r="BE124" i="9" s="1"/>
  <c r="BD256" i="9"/>
  <c r="BD257" i="9" s="1"/>
  <c r="BD258" i="9" s="1"/>
  <c r="BD122" i="9" s="1"/>
  <c r="BD124" i="9" s="1"/>
  <c r="BC256" i="9"/>
  <c r="BC257" i="9" s="1"/>
  <c r="BC258" i="9" s="1"/>
  <c r="BC122" i="9" s="1"/>
  <c r="BC124" i="9" s="1"/>
  <c r="BB256" i="9"/>
  <c r="BB257" i="9" s="1"/>
  <c r="BB258" i="9" s="1"/>
  <c r="BB122" i="9" s="1"/>
  <c r="BB124" i="9" s="1"/>
  <c r="BA256" i="9"/>
  <c r="BA257" i="9" s="1"/>
  <c r="BA258" i="9" s="1"/>
  <c r="BA122" i="9" s="1"/>
  <c r="BA124" i="9" s="1"/>
  <c r="AZ256" i="9"/>
  <c r="AZ257" i="9" s="1"/>
  <c r="AZ258" i="9" s="1"/>
  <c r="AZ122" i="9" s="1"/>
  <c r="AZ124" i="9" s="1"/>
  <c r="AY256" i="9"/>
  <c r="AY257" i="9" s="1"/>
  <c r="AY258" i="9" s="1"/>
  <c r="AY122" i="9" s="1"/>
  <c r="AY124" i="9" s="1"/>
  <c r="AX256" i="9"/>
  <c r="AX257" i="9" s="1"/>
  <c r="AX258" i="9" s="1"/>
  <c r="AX122" i="9" s="1"/>
  <c r="AX124" i="9" s="1"/>
  <c r="AW256" i="9"/>
  <c r="AW257" i="9" s="1"/>
  <c r="AW258" i="9" s="1"/>
  <c r="AW122" i="9" s="1"/>
  <c r="AW124" i="9" s="1"/>
  <c r="AV256" i="9"/>
  <c r="AV257" i="9" s="1"/>
  <c r="AV258" i="9" s="1"/>
  <c r="AV122" i="9" s="1"/>
  <c r="AV124" i="9" s="1"/>
  <c r="AU256" i="9"/>
  <c r="AU257" i="9" s="1"/>
  <c r="AU258" i="9" s="1"/>
  <c r="AU122" i="9" s="1"/>
  <c r="AU124" i="9" s="1"/>
  <c r="AT256" i="9"/>
  <c r="AT257" i="9" s="1"/>
  <c r="AT258" i="9" s="1"/>
  <c r="AT122" i="9" s="1"/>
  <c r="AT124" i="9" s="1"/>
  <c r="AS256" i="9"/>
  <c r="AS257" i="9" s="1"/>
  <c r="AS258" i="9" s="1"/>
  <c r="AS122" i="9" s="1"/>
  <c r="AS124" i="9" s="1"/>
  <c r="AR256" i="9"/>
  <c r="AR257" i="9" s="1"/>
  <c r="AR258" i="9" s="1"/>
  <c r="AR122" i="9" s="1"/>
  <c r="AR124" i="9" s="1"/>
  <c r="AQ256" i="9"/>
  <c r="AQ257" i="9" s="1"/>
  <c r="AQ258" i="9" s="1"/>
  <c r="AQ122" i="9" s="1"/>
  <c r="AQ124" i="9" s="1"/>
  <c r="AP256" i="9"/>
  <c r="AP257" i="9" s="1"/>
  <c r="AP258" i="9" s="1"/>
  <c r="AP122" i="9" s="1"/>
  <c r="AP124" i="9" s="1"/>
  <c r="AO256" i="9"/>
  <c r="AO257" i="9" s="1"/>
  <c r="AO258" i="9" s="1"/>
  <c r="AO122" i="9" s="1"/>
  <c r="AO124" i="9" s="1"/>
  <c r="AN256" i="9"/>
  <c r="AN257" i="9" s="1"/>
  <c r="AN258" i="9" s="1"/>
  <c r="AN122" i="9" s="1"/>
  <c r="AN124" i="9" s="1"/>
  <c r="AM256" i="9"/>
  <c r="AM257" i="9" s="1"/>
  <c r="AM258" i="9" s="1"/>
  <c r="AM122" i="9" s="1"/>
  <c r="AM124" i="9" s="1"/>
  <c r="AL256" i="9"/>
  <c r="AL257" i="9" s="1"/>
  <c r="AL258" i="9" s="1"/>
  <c r="AL122" i="9" s="1"/>
  <c r="AL124" i="9" s="1"/>
  <c r="AK256" i="9"/>
  <c r="AK257" i="9" s="1"/>
  <c r="AK258" i="9" s="1"/>
  <c r="AK122" i="9" s="1"/>
  <c r="AK124" i="9" s="1"/>
  <c r="AJ256" i="9"/>
  <c r="AJ257" i="9" s="1"/>
  <c r="AJ258" i="9" s="1"/>
  <c r="AJ122" i="9" s="1"/>
  <c r="AJ124" i="9" s="1"/>
  <c r="AI256" i="9"/>
  <c r="AI257" i="9" s="1"/>
  <c r="AI258" i="9" s="1"/>
  <c r="AI122" i="9" s="1"/>
  <c r="AI124" i="9" s="1"/>
  <c r="AH256" i="9"/>
  <c r="AH257" i="9" s="1"/>
  <c r="AH258" i="9" s="1"/>
  <c r="AH122" i="9" s="1"/>
  <c r="AH124" i="9" s="1"/>
  <c r="AG256" i="9"/>
  <c r="AG257" i="9" s="1"/>
  <c r="AG258" i="9" s="1"/>
  <c r="AG122" i="9" s="1"/>
  <c r="AG124" i="9" s="1"/>
  <c r="AF256" i="9"/>
  <c r="AF257" i="9" s="1"/>
  <c r="AF258" i="9" s="1"/>
  <c r="AF122" i="9" s="1"/>
  <c r="AF124" i="9" s="1"/>
  <c r="AD256" i="9"/>
  <c r="AD257" i="9" s="1"/>
  <c r="AD258" i="9" s="1"/>
  <c r="AD122" i="9" s="1"/>
  <c r="AD124" i="9" s="1"/>
  <c r="AC256" i="9"/>
  <c r="AC257" i="9" s="1"/>
  <c r="AC258" i="9" s="1"/>
  <c r="AC122" i="9" s="1"/>
  <c r="AC124" i="9" s="1"/>
  <c r="AB256" i="9"/>
  <c r="AB257" i="9" s="1"/>
  <c r="AB258" i="9" s="1"/>
  <c r="AB122" i="9" s="1"/>
  <c r="AB124" i="9" s="1"/>
  <c r="AA256" i="9"/>
  <c r="AA257" i="9" s="1"/>
  <c r="AA258" i="9" s="1"/>
  <c r="AA122" i="9" s="1"/>
  <c r="AA124" i="9" s="1"/>
  <c r="Z256" i="9"/>
  <c r="Z257" i="9" s="1"/>
  <c r="Z258" i="9" s="1"/>
  <c r="Z122" i="9" s="1"/>
  <c r="Z124" i="9" s="1"/>
  <c r="Y256" i="9"/>
  <c r="Y257" i="9" s="1"/>
  <c r="Y258" i="9" s="1"/>
  <c r="Y122" i="9" s="1"/>
  <c r="Y124" i="9" s="1"/>
  <c r="X256" i="9"/>
  <c r="X257" i="9" s="1"/>
  <c r="X258" i="9" s="1"/>
  <c r="X122" i="9" s="1"/>
  <c r="X124" i="9" s="1"/>
  <c r="W256" i="9"/>
  <c r="W257" i="9" s="1"/>
  <c r="W258" i="9" s="1"/>
  <c r="W122" i="9" s="1"/>
  <c r="W124" i="9" s="1"/>
  <c r="V256" i="9"/>
  <c r="V257" i="9" s="1"/>
  <c r="V258" i="9" s="1"/>
  <c r="V122" i="9" s="1"/>
  <c r="V124" i="9" s="1"/>
  <c r="U256" i="9"/>
  <c r="U257" i="9" s="1"/>
  <c r="U258" i="9" s="1"/>
  <c r="U122" i="9" s="1"/>
  <c r="U124" i="9" s="1"/>
  <c r="T256" i="9"/>
  <c r="T257" i="9" s="1"/>
  <c r="T258" i="9" s="1"/>
  <c r="T122" i="9" s="1"/>
  <c r="T124" i="9" s="1"/>
  <c r="S256" i="9"/>
  <c r="S257" i="9" s="1"/>
  <c r="S258" i="9" s="1"/>
  <c r="S122" i="9" s="1"/>
  <c r="S124" i="9" s="1"/>
  <c r="R256" i="9"/>
  <c r="R257" i="9" s="1"/>
  <c r="R258" i="9" s="1"/>
  <c r="R122" i="9" s="1"/>
  <c r="R124" i="9" s="1"/>
  <c r="Q256" i="9"/>
  <c r="Q257" i="9" s="1"/>
  <c r="Q258" i="9" s="1"/>
  <c r="Q122" i="9" s="1"/>
  <c r="Q124" i="9" s="1"/>
  <c r="P256" i="9"/>
  <c r="P257" i="9" s="1"/>
  <c r="P258" i="9" s="1"/>
  <c r="P122" i="9" s="1"/>
  <c r="P124" i="9" s="1"/>
  <c r="O256" i="9"/>
  <c r="O257" i="9" s="1"/>
  <c r="O258" i="9" s="1"/>
  <c r="O122" i="9" s="1"/>
  <c r="O124" i="9" s="1"/>
  <c r="N256" i="9"/>
  <c r="N257" i="9" s="1"/>
  <c r="N258" i="9" s="1"/>
  <c r="N122" i="9" s="1"/>
  <c r="N124" i="9" s="1"/>
  <c r="M256" i="9"/>
  <c r="M257" i="9" s="1"/>
  <c r="M258" i="9" s="1"/>
  <c r="M122" i="9" s="1"/>
  <c r="M124" i="9" s="1"/>
  <c r="L256" i="9"/>
  <c r="L257" i="9" s="1"/>
  <c r="L258" i="9" s="1"/>
  <c r="L122" i="9" s="1"/>
  <c r="L124" i="9" s="1"/>
  <c r="K256" i="9"/>
  <c r="K257" i="9" s="1"/>
  <c r="K258" i="9" s="1"/>
  <c r="K122" i="9" s="1"/>
  <c r="K124" i="9" s="1"/>
  <c r="J256" i="9"/>
  <c r="J257" i="9" s="1"/>
  <c r="J258" i="9" s="1"/>
  <c r="J122" i="9" s="1"/>
  <c r="J124" i="9" s="1"/>
  <c r="I256" i="9"/>
  <c r="I257" i="9" s="1"/>
  <c r="I258" i="9" s="1"/>
  <c r="I122" i="9" s="1"/>
  <c r="I124" i="9" s="1"/>
  <c r="H256" i="9"/>
  <c r="H257" i="9" s="1"/>
  <c r="H258" i="9" s="1"/>
  <c r="H122" i="9" s="1"/>
  <c r="H124" i="9" s="1"/>
  <c r="G256" i="9"/>
  <c r="G257" i="9" s="1"/>
  <c r="G258" i="9" s="1"/>
  <c r="G122" i="9" s="1"/>
  <c r="G124" i="9" s="1"/>
  <c r="F256" i="9"/>
  <c r="F257" i="9" s="1"/>
  <c r="F258" i="9" s="1"/>
  <c r="F122" i="9" s="1"/>
  <c r="F124" i="9" s="1"/>
  <c r="E256" i="9"/>
  <c r="E257" i="9" s="1"/>
  <c r="E258" i="9" s="1"/>
  <c r="E122" i="9" s="1"/>
  <c r="E124" i="9" s="1"/>
  <c r="D256" i="9"/>
  <c r="D257" i="9" s="1"/>
  <c r="D258" i="9" s="1"/>
  <c r="D122" i="9" s="1"/>
  <c r="D124" i="9" s="1"/>
  <c r="C256" i="9"/>
  <c r="CC255" i="9"/>
  <c r="BZ261" i="9"/>
  <c r="BZ262" i="9" s="1"/>
  <c r="BZ263" i="9" s="1"/>
  <c r="BZ126" i="9" s="1"/>
  <c r="BZ133" i="9" s="1"/>
  <c r="BY261" i="9"/>
  <c r="BY262" i="9" s="1"/>
  <c r="BY263" i="9" s="1"/>
  <c r="BY126" i="9" s="1"/>
  <c r="BY133" i="9" s="1"/>
  <c r="BX261" i="9"/>
  <c r="BX262" i="9" s="1"/>
  <c r="BX263" i="9" s="1"/>
  <c r="BX126" i="9" s="1"/>
  <c r="BX133" i="9" s="1"/>
  <c r="BW261" i="9"/>
  <c r="BW262" i="9" s="1"/>
  <c r="BW263" i="9" s="1"/>
  <c r="BW126" i="9" s="1"/>
  <c r="BW133" i="9" s="1"/>
  <c r="BV261" i="9"/>
  <c r="BV262" i="9" s="1"/>
  <c r="BV263" i="9" s="1"/>
  <c r="BV126" i="9" s="1"/>
  <c r="BV133" i="9" s="1"/>
  <c r="BU261" i="9"/>
  <c r="BU262" i="9" s="1"/>
  <c r="BU263" i="9" s="1"/>
  <c r="BU126" i="9" s="1"/>
  <c r="BU133" i="9" s="1"/>
  <c r="BT261" i="9"/>
  <c r="BT262" i="9" s="1"/>
  <c r="BT263" i="9" s="1"/>
  <c r="BT126" i="9" s="1"/>
  <c r="BT133" i="9" s="1"/>
  <c r="BS261" i="9"/>
  <c r="BS262" i="9" s="1"/>
  <c r="BS263" i="9" s="1"/>
  <c r="BS126" i="9" s="1"/>
  <c r="BS133" i="9" s="1"/>
  <c r="BR261" i="9"/>
  <c r="BR262" i="9" s="1"/>
  <c r="BR263" i="9" s="1"/>
  <c r="BR126" i="9" s="1"/>
  <c r="BR133" i="9" s="1"/>
  <c r="BQ261" i="9"/>
  <c r="BQ262" i="9" s="1"/>
  <c r="BQ263" i="9" s="1"/>
  <c r="BQ126" i="9" s="1"/>
  <c r="BQ133" i="9" s="1"/>
  <c r="BP261" i="9"/>
  <c r="BP262" i="9" s="1"/>
  <c r="BP263" i="9" s="1"/>
  <c r="BP126" i="9" s="1"/>
  <c r="BP133" i="9" s="1"/>
  <c r="BO261" i="9"/>
  <c r="BO262" i="9" s="1"/>
  <c r="BO263" i="9" s="1"/>
  <c r="BO126" i="9" s="1"/>
  <c r="BO133" i="9" s="1"/>
  <c r="BN261" i="9"/>
  <c r="BN262" i="9" s="1"/>
  <c r="BN263" i="9" s="1"/>
  <c r="BN126" i="9" s="1"/>
  <c r="BN133" i="9" s="1"/>
  <c r="BM261" i="9"/>
  <c r="BM262" i="9" s="1"/>
  <c r="BM263" i="9" s="1"/>
  <c r="BM126" i="9" s="1"/>
  <c r="BM133" i="9" s="1"/>
  <c r="BL261" i="9"/>
  <c r="BL262" i="9" s="1"/>
  <c r="BL263" i="9" s="1"/>
  <c r="BL126" i="9" s="1"/>
  <c r="BL133" i="9" s="1"/>
  <c r="BK261" i="9"/>
  <c r="BK262" i="9" s="1"/>
  <c r="BK263" i="9" s="1"/>
  <c r="BK126" i="9" s="1"/>
  <c r="BK133" i="9" s="1"/>
  <c r="BJ261" i="9"/>
  <c r="BJ262" i="9" s="1"/>
  <c r="BJ263" i="9" s="1"/>
  <c r="BJ126" i="9" s="1"/>
  <c r="BJ133" i="9" s="1"/>
  <c r="BI261" i="9"/>
  <c r="BI262" i="9" s="1"/>
  <c r="BI263" i="9" s="1"/>
  <c r="BH261" i="9"/>
  <c r="BH262" i="9" s="1"/>
  <c r="BH263" i="9" s="1"/>
  <c r="BG261" i="9"/>
  <c r="BG262" i="9" s="1"/>
  <c r="BG263" i="9" s="1"/>
  <c r="BF261" i="9"/>
  <c r="BF262" i="9" s="1"/>
  <c r="BF263" i="9" s="1"/>
  <c r="BF126" i="9" s="1"/>
  <c r="BF133" i="9" s="1"/>
  <c r="BE261" i="9"/>
  <c r="BE262" i="9" s="1"/>
  <c r="BE263" i="9" s="1"/>
  <c r="BE126" i="9" s="1"/>
  <c r="BE133" i="9" s="1"/>
  <c r="BD261" i="9"/>
  <c r="BD262" i="9" s="1"/>
  <c r="BD263" i="9" s="1"/>
  <c r="BD126" i="9" s="1"/>
  <c r="BD133" i="9" s="1"/>
  <c r="BC261" i="9"/>
  <c r="BC262" i="9" s="1"/>
  <c r="BC263" i="9" s="1"/>
  <c r="BC126" i="9" s="1"/>
  <c r="BC133" i="9" s="1"/>
  <c r="BB261" i="9"/>
  <c r="BB262" i="9" s="1"/>
  <c r="BB263" i="9" s="1"/>
  <c r="BB126" i="9" s="1"/>
  <c r="BB133" i="9" s="1"/>
  <c r="BA261" i="9"/>
  <c r="BA262" i="9" s="1"/>
  <c r="BA263" i="9" s="1"/>
  <c r="BA126" i="9" s="1"/>
  <c r="BA133" i="9" s="1"/>
  <c r="AZ261" i="9"/>
  <c r="AZ262" i="9" s="1"/>
  <c r="AZ263" i="9" s="1"/>
  <c r="AZ126" i="9" s="1"/>
  <c r="AZ133" i="9" s="1"/>
  <c r="AY261" i="9"/>
  <c r="AY262" i="9" s="1"/>
  <c r="AY263" i="9" s="1"/>
  <c r="AY126" i="9" s="1"/>
  <c r="AY133" i="9" s="1"/>
  <c r="AX261" i="9"/>
  <c r="AX262" i="9" s="1"/>
  <c r="AX263" i="9" s="1"/>
  <c r="AX126" i="9" s="1"/>
  <c r="AX133" i="9" s="1"/>
  <c r="AW261" i="9"/>
  <c r="AW262" i="9" s="1"/>
  <c r="AW263" i="9" s="1"/>
  <c r="AW126" i="9" s="1"/>
  <c r="AW133" i="9" s="1"/>
  <c r="AV261" i="9"/>
  <c r="AV262" i="9" s="1"/>
  <c r="AV263" i="9" s="1"/>
  <c r="AV126" i="9" s="1"/>
  <c r="AV133" i="9" s="1"/>
  <c r="AU261" i="9"/>
  <c r="AU262" i="9" s="1"/>
  <c r="AU263" i="9" s="1"/>
  <c r="AU126" i="9" s="1"/>
  <c r="AU133" i="9" s="1"/>
  <c r="AT261" i="9"/>
  <c r="AT262" i="9" s="1"/>
  <c r="AT263" i="9" s="1"/>
  <c r="AT126" i="9" s="1"/>
  <c r="AT133" i="9" s="1"/>
  <c r="AS261" i="9"/>
  <c r="AS262" i="9" s="1"/>
  <c r="AS263" i="9" s="1"/>
  <c r="AS126" i="9" s="1"/>
  <c r="AS133" i="9" s="1"/>
  <c r="AR261" i="9"/>
  <c r="AR262" i="9" s="1"/>
  <c r="AR263" i="9" s="1"/>
  <c r="AR126" i="9" s="1"/>
  <c r="AR133" i="9" s="1"/>
  <c r="AQ261" i="9"/>
  <c r="AQ262" i="9" s="1"/>
  <c r="AQ263" i="9" s="1"/>
  <c r="AQ126" i="9" s="1"/>
  <c r="AQ133" i="9" s="1"/>
  <c r="AP261" i="9"/>
  <c r="AP262" i="9" s="1"/>
  <c r="AP263" i="9" s="1"/>
  <c r="AP126" i="9" s="1"/>
  <c r="AP133" i="9" s="1"/>
  <c r="AO261" i="9"/>
  <c r="AO262" i="9" s="1"/>
  <c r="AO263" i="9" s="1"/>
  <c r="AO126" i="9" s="1"/>
  <c r="AO133" i="9" s="1"/>
  <c r="AN261" i="9"/>
  <c r="AN262" i="9" s="1"/>
  <c r="AN263" i="9" s="1"/>
  <c r="AN126" i="9" s="1"/>
  <c r="AN133" i="9" s="1"/>
  <c r="AM261" i="9"/>
  <c r="AM262" i="9" s="1"/>
  <c r="AM263" i="9" s="1"/>
  <c r="AM126" i="9" s="1"/>
  <c r="AM133" i="9" s="1"/>
  <c r="AL261" i="9"/>
  <c r="AL262" i="9" s="1"/>
  <c r="AL263" i="9" s="1"/>
  <c r="AL126" i="9" s="1"/>
  <c r="AL133" i="9" s="1"/>
  <c r="AK261" i="9"/>
  <c r="AK262" i="9" s="1"/>
  <c r="AK263" i="9" s="1"/>
  <c r="AK126" i="9" s="1"/>
  <c r="AK133" i="9" s="1"/>
  <c r="AJ261" i="9"/>
  <c r="AJ262" i="9" s="1"/>
  <c r="AJ263" i="9" s="1"/>
  <c r="AJ126" i="9" s="1"/>
  <c r="AJ133" i="9" s="1"/>
  <c r="AI261" i="9"/>
  <c r="AI262" i="9" s="1"/>
  <c r="AI263" i="9" s="1"/>
  <c r="AI126" i="9" s="1"/>
  <c r="AI133" i="9" s="1"/>
  <c r="AH261" i="9"/>
  <c r="AH262" i="9" s="1"/>
  <c r="AH263" i="9" s="1"/>
  <c r="AH126" i="9" s="1"/>
  <c r="AH133" i="9" s="1"/>
  <c r="AG261" i="9"/>
  <c r="AG262" i="9" s="1"/>
  <c r="AG263" i="9" s="1"/>
  <c r="AG126" i="9" s="1"/>
  <c r="AG133" i="9" s="1"/>
  <c r="AF261" i="9"/>
  <c r="AF262" i="9" s="1"/>
  <c r="AF263" i="9" s="1"/>
  <c r="AF126" i="9" s="1"/>
  <c r="AF133" i="9" s="1"/>
  <c r="AD261" i="9"/>
  <c r="AD262" i="9" s="1"/>
  <c r="AD263" i="9" s="1"/>
  <c r="AD126" i="9" s="1"/>
  <c r="AD133" i="9" s="1"/>
  <c r="AC261" i="9"/>
  <c r="AC262" i="9" s="1"/>
  <c r="AC263" i="9" s="1"/>
  <c r="AC126" i="9" s="1"/>
  <c r="AC133" i="9" s="1"/>
  <c r="AB261" i="9"/>
  <c r="AB262" i="9" s="1"/>
  <c r="AB263" i="9" s="1"/>
  <c r="AB126" i="9" s="1"/>
  <c r="AB133" i="9" s="1"/>
  <c r="AA261" i="9"/>
  <c r="AA262" i="9" s="1"/>
  <c r="AA263" i="9" s="1"/>
  <c r="AA126" i="9" s="1"/>
  <c r="AA133" i="9" s="1"/>
  <c r="Z261" i="9"/>
  <c r="Z262" i="9" s="1"/>
  <c r="Z263" i="9" s="1"/>
  <c r="Z126" i="9" s="1"/>
  <c r="Z133" i="9" s="1"/>
  <c r="Y261" i="9"/>
  <c r="Y262" i="9" s="1"/>
  <c r="Y263" i="9" s="1"/>
  <c r="Y126" i="9" s="1"/>
  <c r="Y133" i="9" s="1"/>
  <c r="X261" i="9"/>
  <c r="X262" i="9" s="1"/>
  <c r="X263" i="9" s="1"/>
  <c r="X126" i="9" s="1"/>
  <c r="X133" i="9" s="1"/>
  <c r="W261" i="9"/>
  <c r="W262" i="9" s="1"/>
  <c r="W263" i="9" s="1"/>
  <c r="W126" i="9" s="1"/>
  <c r="W133" i="9" s="1"/>
  <c r="V261" i="9"/>
  <c r="V262" i="9" s="1"/>
  <c r="V263" i="9" s="1"/>
  <c r="V126" i="9" s="1"/>
  <c r="V133" i="9" s="1"/>
  <c r="U261" i="9"/>
  <c r="U262" i="9" s="1"/>
  <c r="U263" i="9" s="1"/>
  <c r="U126" i="9" s="1"/>
  <c r="U133" i="9" s="1"/>
  <c r="T261" i="9"/>
  <c r="T262" i="9" s="1"/>
  <c r="T263" i="9" s="1"/>
  <c r="T126" i="9" s="1"/>
  <c r="T133" i="9" s="1"/>
  <c r="S261" i="9"/>
  <c r="S262" i="9" s="1"/>
  <c r="S263" i="9" s="1"/>
  <c r="S126" i="9" s="1"/>
  <c r="S133" i="9" s="1"/>
  <c r="R261" i="9"/>
  <c r="R262" i="9" s="1"/>
  <c r="R263" i="9" s="1"/>
  <c r="R126" i="9" s="1"/>
  <c r="R133" i="9" s="1"/>
  <c r="Q261" i="9"/>
  <c r="Q262" i="9" s="1"/>
  <c r="Q263" i="9" s="1"/>
  <c r="Q126" i="9" s="1"/>
  <c r="Q133" i="9" s="1"/>
  <c r="P261" i="9"/>
  <c r="P262" i="9" s="1"/>
  <c r="P263" i="9" s="1"/>
  <c r="P126" i="9" s="1"/>
  <c r="P133" i="9" s="1"/>
  <c r="O261" i="9"/>
  <c r="O262" i="9" s="1"/>
  <c r="O263" i="9" s="1"/>
  <c r="O126" i="9" s="1"/>
  <c r="O133" i="9" s="1"/>
  <c r="N261" i="9"/>
  <c r="N262" i="9" s="1"/>
  <c r="N263" i="9" s="1"/>
  <c r="N126" i="9" s="1"/>
  <c r="N133" i="9" s="1"/>
  <c r="M261" i="9"/>
  <c r="M262" i="9" s="1"/>
  <c r="M263" i="9" s="1"/>
  <c r="M126" i="9" s="1"/>
  <c r="M133" i="9" s="1"/>
  <c r="L261" i="9"/>
  <c r="L262" i="9" s="1"/>
  <c r="L263" i="9" s="1"/>
  <c r="L126" i="9" s="1"/>
  <c r="L133" i="9" s="1"/>
  <c r="K261" i="9"/>
  <c r="K262" i="9" s="1"/>
  <c r="K263" i="9" s="1"/>
  <c r="K126" i="9" s="1"/>
  <c r="K133" i="9" s="1"/>
  <c r="J261" i="9"/>
  <c r="J262" i="9" s="1"/>
  <c r="J263" i="9" s="1"/>
  <c r="J126" i="9" s="1"/>
  <c r="J133" i="9" s="1"/>
  <c r="I261" i="9"/>
  <c r="I262" i="9" s="1"/>
  <c r="I263" i="9" s="1"/>
  <c r="I126" i="9" s="1"/>
  <c r="I133" i="9" s="1"/>
  <c r="H261" i="9"/>
  <c r="H262" i="9" s="1"/>
  <c r="H263" i="9" s="1"/>
  <c r="H126" i="9" s="1"/>
  <c r="H133" i="9" s="1"/>
  <c r="G261" i="9"/>
  <c r="G262" i="9" s="1"/>
  <c r="G263" i="9" s="1"/>
  <c r="G126" i="9" s="1"/>
  <c r="G133" i="9" s="1"/>
  <c r="F261" i="9"/>
  <c r="F262" i="9" s="1"/>
  <c r="F263" i="9" s="1"/>
  <c r="F126" i="9" s="1"/>
  <c r="F133" i="9" s="1"/>
  <c r="E261" i="9"/>
  <c r="E262" i="9" s="1"/>
  <c r="E263" i="9" s="1"/>
  <c r="E126" i="9" s="1"/>
  <c r="E133" i="9" s="1"/>
  <c r="D261" i="9"/>
  <c r="D262" i="9" s="1"/>
  <c r="D263" i="9" s="1"/>
  <c r="D126" i="9" s="1"/>
  <c r="D133" i="9" s="1"/>
  <c r="C261" i="9"/>
  <c r="CC260" i="9"/>
  <c r="G210" i="3"/>
  <c r="BM206" i="3"/>
  <c r="G211" i="3"/>
  <c r="BM207" i="3"/>
  <c r="G212" i="3"/>
  <c r="BM208" i="3"/>
  <c r="G194" i="3"/>
  <c r="BM190" i="3"/>
  <c r="G195" i="3"/>
  <c r="BM191" i="3"/>
  <c r="G196" i="3"/>
  <c r="BM192" i="3"/>
  <c r="C178" i="1"/>
  <c r="C179" i="1" s="1"/>
  <c r="C181" i="1" s="1"/>
  <c r="D178" i="1"/>
  <c r="D179" i="1" s="1"/>
  <c r="D181" i="1" s="1"/>
  <c r="E178" i="1"/>
  <c r="E179" i="1" s="1"/>
  <c r="E181" i="1" s="1"/>
  <c r="F178" i="1"/>
  <c r="F179" i="1" s="1"/>
  <c r="F181" i="1" s="1"/>
  <c r="G178" i="1"/>
  <c r="G179" i="1" s="1"/>
  <c r="G181" i="1" s="1"/>
  <c r="H178" i="1"/>
  <c r="H179" i="1" s="1"/>
  <c r="H181" i="1" s="1"/>
  <c r="I178" i="1"/>
  <c r="I179" i="1" s="1"/>
  <c r="I181" i="1" s="1"/>
  <c r="J178" i="1"/>
  <c r="J179" i="1" s="1"/>
  <c r="J181" i="1" s="1"/>
  <c r="K178" i="1"/>
  <c r="K179" i="1" s="1"/>
  <c r="K181" i="1" s="1"/>
  <c r="L178" i="1"/>
  <c r="L179" i="1" s="1"/>
  <c r="L181" i="1" s="1"/>
  <c r="M178" i="1"/>
  <c r="M179" i="1" s="1"/>
  <c r="M181" i="1" s="1"/>
  <c r="N178" i="1"/>
  <c r="N179" i="1" s="1"/>
  <c r="N181" i="1" s="1"/>
  <c r="O178" i="1"/>
  <c r="O179" i="1" s="1"/>
  <c r="O181" i="1" s="1"/>
  <c r="P178" i="1"/>
  <c r="P179" i="1" s="1"/>
  <c r="P181" i="1" s="1"/>
  <c r="Q178" i="1"/>
  <c r="Q179" i="1" s="1"/>
  <c r="Q181" i="1" s="1"/>
  <c r="R178" i="1"/>
  <c r="R179" i="1" s="1"/>
  <c r="R181" i="1" s="1"/>
  <c r="S178" i="1"/>
  <c r="S179" i="1" s="1"/>
  <c r="S181" i="1" s="1"/>
  <c r="T178" i="1"/>
  <c r="T179" i="1" s="1"/>
  <c r="T181" i="1" s="1"/>
  <c r="U178" i="1"/>
  <c r="U179" i="1" s="1"/>
  <c r="U181" i="1" s="1"/>
  <c r="V178" i="1"/>
  <c r="V179" i="1" s="1"/>
  <c r="V181" i="1" s="1"/>
  <c r="W178" i="1"/>
  <c r="W179" i="1" s="1"/>
  <c r="W181" i="1" s="1"/>
  <c r="X178" i="1"/>
  <c r="X179" i="1" s="1"/>
  <c r="X181" i="1" s="1"/>
  <c r="Y178" i="1"/>
  <c r="Y179" i="1" s="1"/>
  <c r="Y181" i="1" s="1"/>
  <c r="Z178" i="1"/>
  <c r="Z179" i="1" s="1"/>
  <c r="Z181" i="1" s="1"/>
  <c r="AA178" i="1"/>
  <c r="AA179" i="1" s="1"/>
  <c r="AA181" i="1" s="1"/>
  <c r="AB178" i="1"/>
  <c r="AB179" i="1" s="1"/>
  <c r="AB181" i="1" s="1"/>
  <c r="AC178" i="1"/>
  <c r="AC179" i="1" s="1"/>
  <c r="AC181" i="1" s="1"/>
  <c r="AD178" i="1"/>
  <c r="AD179" i="1" s="1"/>
  <c r="AD181" i="1" s="1"/>
  <c r="AE178" i="1"/>
  <c r="AE179" i="1" s="1"/>
  <c r="AE181" i="1" s="1"/>
  <c r="AF178" i="1"/>
  <c r="AF179" i="1" s="1"/>
  <c r="AF181" i="1" s="1"/>
  <c r="AG178" i="1"/>
  <c r="AG179" i="1" s="1"/>
  <c r="AG181" i="1" s="1"/>
  <c r="AH178" i="1"/>
  <c r="AH179" i="1" s="1"/>
  <c r="AH181" i="1" s="1"/>
  <c r="AI178" i="1"/>
  <c r="AI179" i="1" s="1"/>
  <c r="AI181" i="1" s="1"/>
  <c r="AJ178" i="1"/>
  <c r="AJ179" i="1" s="1"/>
  <c r="AJ181" i="1" s="1"/>
  <c r="AK178" i="1"/>
  <c r="AK179" i="1" s="1"/>
  <c r="AK181" i="1" s="1"/>
  <c r="AL178" i="1"/>
  <c r="AL179" i="1" s="1"/>
  <c r="AL181" i="1" s="1"/>
  <c r="AM178" i="1"/>
  <c r="AM179" i="1" s="1"/>
  <c r="AM181" i="1" s="1"/>
  <c r="AN178" i="1"/>
  <c r="AN179" i="1" s="1"/>
  <c r="AN181" i="1" s="1"/>
  <c r="AO178" i="1"/>
  <c r="AO179" i="1" s="1"/>
  <c r="AO181" i="1" s="1"/>
  <c r="AP178" i="1"/>
  <c r="AP179" i="1" s="1"/>
  <c r="AP181" i="1" s="1"/>
  <c r="AQ178" i="1"/>
  <c r="AQ179" i="1" s="1"/>
  <c r="AQ181" i="1" s="1"/>
  <c r="AR178" i="1"/>
  <c r="AR179" i="1" s="1"/>
  <c r="AR181" i="1" s="1"/>
  <c r="AS178" i="1"/>
  <c r="AS179" i="1" s="1"/>
  <c r="AS181" i="1" s="1"/>
  <c r="AT178" i="1"/>
  <c r="AT179" i="1" s="1"/>
  <c r="AT181" i="1" s="1"/>
  <c r="AU178" i="1"/>
  <c r="AU179" i="1" s="1"/>
  <c r="AU181" i="1" s="1"/>
  <c r="AV178" i="1"/>
  <c r="AV179" i="1" s="1"/>
  <c r="AV181" i="1" s="1"/>
  <c r="AW178" i="1"/>
  <c r="AW179" i="1" s="1"/>
  <c r="AW181" i="1" s="1"/>
  <c r="AX178" i="1"/>
  <c r="AX179" i="1" s="1"/>
  <c r="AX181" i="1" s="1"/>
  <c r="AY178" i="1"/>
  <c r="AY179" i="1" s="1"/>
  <c r="AY181" i="1" s="1"/>
  <c r="AZ178" i="1"/>
  <c r="AZ179" i="1" s="1"/>
  <c r="AZ181" i="1" s="1"/>
  <c r="BA178" i="1"/>
  <c r="BA179" i="1" s="1"/>
  <c r="BA181" i="1" s="1"/>
  <c r="BB178" i="1"/>
  <c r="BB179" i="1" s="1"/>
  <c r="BB181" i="1" s="1"/>
  <c r="BC178" i="1"/>
  <c r="BC179" i="1" s="1"/>
  <c r="BC181" i="1" s="1"/>
  <c r="BD178" i="1"/>
  <c r="BD179" i="1" s="1"/>
  <c r="BD181" i="1" s="1"/>
  <c r="BE178" i="1"/>
  <c r="BE179" i="1" s="1"/>
  <c r="BE181" i="1" s="1"/>
  <c r="BF178" i="1"/>
  <c r="BF179" i="1" s="1"/>
  <c r="BF181" i="1" s="1"/>
  <c r="BG178" i="1"/>
  <c r="BG179" i="1" s="1"/>
  <c r="BG181" i="1" s="1"/>
  <c r="BH178" i="1"/>
  <c r="BH179" i="1" s="1"/>
  <c r="BH181" i="1" s="1"/>
  <c r="BI178" i="1"/>
  <c r="BI179" i="1" s="1"/>
  <c r="BI181" i="1" s="1"/>
  <c r="BJ178" i="1"/>
  <c r="BJ179" i="1" s="1"/>
  <c r="BJ181" i="1" s="1"/>
  <c r="BK178" i="1"/>
  <c r="BK179" i="1" s="1"/>
  <c r="BK181" i="1" s="1"/>
  <c r="BL178" i="1"/>
  <c r="BL179" i="1" s="1"/>
  <c r="BL181" i="1" s="1"/>
  <c r="BM178" i="1"/>
  <c r="BM179" i="1" s="1"/>
  <c r="BM181" i="1" s="1"/>
  <c r="BN178" i="1"/>
  <c r="BN179" i="1" s="1"/>
  <c r="BN181" i="1" s="1"/>
  <c r="BO178" i="1"/>
  <c r="BO179" i="1" s="1"/>
  <c r="BO181" i="1" s="1"/>
  <c r="BP178" i="1"/>
  <c r="BP179" i="1" s="1"/>
  <c r="BP181" i="1" s="1"/>
  <c r="BQ178" i="1"/>
  <c r="BQ179" i="1" s="1"/>
  <c r="BQ181" i="1" s="1"/>
  <c r="BR178" i="1"/>
  <c r="BR179" i="1" s="1"/>
  <c r="BR181" i="1" s="1"/>
  <c r="BS178" i="1"/>
  <c r="BS179" i="1" s="1"/>
  <c r="BS181" i="1" s="1"/>
  <c r="BT178" i="1"/>
  <c r="BT179" i="1" s="1"/>
  <c r="BT181" i="1" s="1"/>
  <c r="BU178" i="1"/>
  <c r="BU179" i="1" s="1"/>
  <c r="BU181" i="1" s="1"/>
  <c r="BV178" i="1"/>
  <c r="BV179" i="1" s="1"/>
  <c r="BV181" i="1" s="1"/>
  <c r="BW178" i="1"/>
  <c r="BW179" i="1" s="1"/>
  <c r="BW181" i="1" s="1"/>
  <c r="BX178" i="1"/>
  <c r="BX179" i="1" s="1"/>
  <c r="BX181" i="1" s="1"/>
  <c r="BY178" i="1"/>
  <c r="BY179" i="1" s="1"/>
  <c r="BY181" i="1" s="1"/>
  <c r="B178" i="1"/>
  <c r="C157" i="1"/>
  <c r="BM118" i="3" l="1"/>
  <c r="BS116" i="3"/>
  <c r="BS117" i="3"/>
  <c r="BS68" i="3"/>
  <c r="BM105" i="3"/>
  <c r="AX133" i="3"/>
  <c r="AX129" i="3"/>
  <c r="AX111" i="3"/>
  <c r="AX113" i="3"/>
  <c r="AX106" i="3"/>
  <c r="AX107" i="3"/>
  <c r="AX102" i="3"/>
  <c r="AX98" i="3"/>
  <c r="AX90" i="3"/>
  <c r="BM106" i="3"/>
  <c r="Q2" i="4"/>
  <c r="AS71" i="6"/>
  <c r="AO71" i="6"/>
  <c r="AW71" i="6"/>
  <c r="AT71" i="6"/>
  <c r="AU71" i="6"/>
  <c r="AP71" i="6"/>
  <c r="AQ71" i="6"/>
  <c r="AR71" i="6"/>
  <c r="AV71" i="6"/>
  <c r="AX71" i="6"/>
  <c r="AQ55" i="6"/>
  <c r="AR55" i="6"/>
  <c r="AU55" i="6"/>
  <c r="AT55" i="6"/>
  <c r="AS55" i="6"/>
  <c r="AO55" i="6"/>
  <c r="AX55" i="6"/>
  <c r="AW55" i="6"/>
  <c r="AV55" i="6"/>
  <c r="AP55" i="6"/>
  <c r="AN305" i="3"/>
  <c r="AO305" i="3"/>
  <c r="AN302" i="3"/>
  <c r="AO302" i="3"/>
  <c r="AN303" i="3"/>
  <c r="AO303" i="3"/>
  <c r="AN304" i="3"/>
  <c r="AO304" i="3"/>
  <c r="AN301" i="3"/>
  <c r="AO301" i="3"/>
  <c r="AH305" i="3"/>
  <c r="AG305" i="3"/>
  <c r="AH302" i="3"/>
  <c r="AG302" i="3"/>
  <c r="AH303" i="3"/>
  <c r="AG303" i="3"/>
  <c r="AH304" i="3"/>
  <c r="AG304" i="3"/>
  <c r="AH301" i="3"/>
  <c r="AG301" i="3"/>
  <c r="AI305" i="3"/>
  <c r="AM305" i="3"/>
  <c r="AI302" i="3"/>
  <c r="AM302" i="3"/>
  <c r="AI303" i="3"/>
  <c r="AM303" i="3"/>
  <c r="AI304" i="3"/>
  <c r="AM304" i="3"/>
  <c r="AI301" i="3"/>
  <c r="AM301" i="3"/>
  <c r="AL305" i="3"/>
  <c r="AK305" i="3"/>
  <c r="AJ305" i="3"/>
  <c r="AL302" i="3"/>
  <c r="AK302" i="3"/>
  <c r="AJ302" i="3"/>
  <c r="AL303" i="3"/>
  <c r="AK303" i="3"/>
  <c r="AJ303" i="3"/>
  <c r="AL304" i="3"/>
  <c r="AK304" i="3"/>
  <c r="AJ304" i="3"/>
  <c r="AL301" i="3"/>
  <c r="AK301" i="3"/>
  <c r="AJ301" i="3"/>
  <c r="AD71" i="6"/>
  <c r="AE71" i="6"/>
  <c r="AD55" i="6"/>
  <c r="AE55" i="6"/>
  <c r="BM299" i="3"/>
  <c r="BQ299" i="3" s="1"/>
  <c r="BR299" i="3" s="1"/>
  <c r="BM297" i="3"/>
  <c r="BQ297" i="3" s="1"/>
  <c r="BR297" i="3" s="1"/>
  <c r="BM295" i="3"/>
  <c r="BQ295" i="3" s="1"/>
  <c r="BR295" i="3" s="1"/>
  <c r="BM296" i="3"/>
  <c r="BQ296" i="3" s="1"/>
  <c r="BR296" i="3" s="1"/>
  <c r="BM268" i="3"/>
  <c r="BM298" i="3"/>
  <c r="BQ298" i="3" s="1"/>
  <c r="BR298" i="3" s="1"/>
  <c r="R51" i="4"/>
  <c r="M263" i="3"/>
  <c r="M258" i="3"/>
  <c r="M250" i="3"/>
  <c r="M251" i="3"/>
  <c r="M238" i="3"/>
  <c r="M239" i="3"/>
  <c r="M229" i="3"/>
  <c r="M224" i="3"/>
  <c r="M219" i="3"/>
  <c r="BR290" i="3"/>
  <c r="H305" i="3"/>
  <c r="I305" i="3"/>
  <c r="J305" i="3"/>
  <c r="K305" i="3"/>
  <c r="L305" i="3"/>
  <c r="M305" i="3"/>
  <c r="N305" i="3"/>
  <c r="O305" i="3"/>
  <c r="P305" i="3"/>
  <c r="Q305" i="3"/>
  <c r="R305" i="3"/>
  <c r="S305" i="3"/>
  <c r="T305" i="3"/>
  <c r="U305" i="3"/>
  <c r="V305" i="3"/>
  <c r="W305" i="3"/>
  <c r="X305" i="3"/>
  <c r="Y305" i="3"/>
  <c r="Z305" i="3"/>
  <c r="AA305" i="3"/>
  <c r="AB305" i="3"/>
  <c r="AE305" i="3"/>
  <c r="AF305" i="3"/>
  <c r="AP305" i="3"/>
  <c r="AQ305" i="3"/>
  <c r="AR305" i="3"/>
  <c r="AS305" i="3"/>
  <c r="AT305" i="3"/>
  <c r="AU305" i="3"/>
  <c r="AV305" i="3"/>
  <c r="AY305" i="3"/>
  <c r="AY52" i="3" s="1"/>
  <c r="AZ305" i="3"/>
  <c r="AZ52" i="3" s="1"/>
  <c r="BA305" i="3"/>
  <c r="BA52" i="3" s="1"/>
  <c r="BB305" i="3"/>
  <c r="BB52" i="3" s="1"/>
  <c r="BC305" i="3"/>
  <c r="BC52" i="3" s="1"/>
  <c r="BD305" i="3"/>
  <c r="BD52" i="3" s="1"/>
  <c r="BE305" i="3"/>
  <c r="BE52" i="3" s="1"/>
  <c r="BF305" i="3"/>
  <c r="BF52" i="3" s="1"/>
  <c r="BG305" i="3"/>
  <c r="BG52" i="3" s="1"/>
  <c r="BH305" i="3"/>
  <c r="BH52" i="3" s="1"/>
  <c r="BI305" i="3"/>
  <c r="BI52" i="3" s="1"/>
  <c r="BJ305" i="3"/>
  <c r="BJ52" i="3" s="1"/>
  <c r="BK305" i="3"/>
  <c r="BK52" i="3" s="1"/>
  <c r="BL305" i="3"/>
  <c r="BL52" i="3" s="1"/>
  <c r="G305" i="3"/>
  <c r="BR287" i="3"/>
  <c r="H302" i="3"/>
  <c r="I302" i="3"/>
  <c r="J302" i="3"/>
  <c r="K302" i="3"/>
  <c r="L302" i="3"/>
  <c r="M302" i="3"/>
  <c r="N302" i="3"/>
  <c r="O302" i="3"/>
  <c r="P302" i="3"/>
  <c r="Q302" i="3"/>
  <c r="R302" i="3"/>
  <c r="S302" i="3"/>
  <c r="T302" i="3"/>
  <c r="U302" i="3"/>
  <c r="V302" i="3"/>
  <c r="W302" i="3"/>
  <c r="X302" i="3"/>
  <c r="Y302" i="3"/>
  <c r="Z302" i="3"/>
  <c r="AA302" i="3"/>
  <c r="AB302" i="3"/>
  <c r="AE302" i="3"/>
  <c r="AF302" i="3"/>
  <c r="AP302" i="3"/>
  <c r="AQ302" i="3"/>
  <c r="AR302" i="3"/>
  <c r="AS302" i="3"/>
  <c r="AT302" i="3"/>
  <c r="AU302" i="3"/>
  <c r="AV302" i="3"/>
  <c r="AY302" i="3"/>
  <c r="AY47" i="3" s="1"/>
  <c r="AZ302" i="3"/>
  <c r="AZ47" i="3" s="1"/>
  <c r="BA302" i="3"/>
  <c r="BA47" i="3" s="1"/>
  <c r="BB302" i="3"/>
  <c r="BB47" i="3" s="1"/>
  <c r="BC302" i="3"/>
  <c r="BC47" i="3" s="1"/>
  <c r="BD302" i="3"/>
  <c r="BD47" i="3" s="1"/>
  <c r="BE302" i="3"/>
  <c r="BE47" i="3" s="1"/>
  <c r="BF302" i="3"/>
  <c r="BF47" i="3" s="1"/>
  <c r="BG302" i="3"/>
  <c r="BG47" i="3" s="1"/>
  <c r="BH302" i="3"/>
  <c r="BH47" i="3" s="1"/>
  <c r="BI302" i="3"/>
  <c r="BI47" i="3" s="1"/>
  <c r="BJ302" i="3"/>
  <c r="BJ47" i="3" s="1"/>
  <c r="BK302" i="3"/>
  <c r="BK47" i="3" s="1"/>
  <c r="BL302" i="3"/>
  <c r="BL47" i="3" s="1"/>
  <c r="G302" i="3"/>
  <c r="BR288" i="3"/>
  <c r="H303" i="3"/>
  <c r="I303" i="3"/>
  <c r="J303" i="3"/>
  <c r="K303" i="3"/>
  <c r="L303" i="3"/>
  <c r="M303" i="3"/>
  <c r="N303" i="3"/>
  <c r="O303" i="3"/>
  <c r="P303" i="3"/>
  <c r="Q303" i="3"/>
  <c r="R303" i="3"/>
  <c r="S303" i="3"/>
  <c r="T303" i="3"/>
  <c r="U303" i="3"/>
  <c r="V303" i="3"/>
  <c r="W303" i="3"/>
  <c r="X303" i="3"/>
  <c r="Y303" i="3"/>
  <c r="Z303" i="3"/>
  <c r="AA303" i="3"/>
  <c r="AB303" i="3"/>
  <c r="AE303" i="3"/>
  <c r="AF303" i="3"/>
  <c r="AP303" i="3"/>
  <c r="AQ303" i="3"/>
  <c r="AR303" i="3"/>
  <c r="AS303" i="3"/>
  <c r="AT303" i="3"/>
  <c r="AU303" i="3"/>
  <c r="AV303" i="3"/>
  <c r="AY303" i="3"/>
  <c r="AY48" i="3" s="1"/>
  <c r="AZ303" i="3"/>
  <c r="AZ48" i="3" s="1"/>
  <c r="BA303" i="3"/>
  <c r="BA48" i="3" s="1"/>
  <c r="BB303" i="3"/>
  <c r="BB48" i="3" s="1"/>
  <c r="BC303" i="3"/>
  <c r="BC48" i="3" s="1"/>
  <c r="BD303" i="3"/>
  <c r="BD48" i="3" s="1"/>
  <c r="BE303" i="3"/>
  <c r="BE48" i="3" s="1"/>
  <c r="BF303" i="3"/>
  <c r="BF48" i="3" s="1"/>
  <c r="BG303" i="3"/>
  <c r="BG48" i="3" s="1"/>
  <c r="BH303" i="3"/>
  <c r="BH48" i="3" s="1"/>
  <c r="BI303" i="3"/>
  <c r="BI48" i="3" s="1"/>
  <c r="BJ303" i="3"/>
  <c r="BJ48" i="3" s="1"/>
  <c r="BK303" i="3"/>
  <c r="BK48" i="3" s="1"/>
  <c r="BL303" i="3"/>
  <c r="BL48" i="3" s="1"/>
  <c r="G303" i="3"/>
  <c r="BR289" i="3"/>
  <c r="H304" i="3"/>
  <c r="I304" i="3"/>
  <c r="J304" i="3"/>
  <c r="K304" i="3"/>
  <c r="L304" i="3"/>
  <c r="M304" i="3"/>
  <c r="N304" i="3"/>
  <c r="O304" i="3"/>
  <c r="P304" i="3"/>
  <c r="Q304" i="3"/>
  <c r="R304" i="3"/>
  <c r="S304" i="3"/>
  <c r="T304" i="3"/>
  <c r="U304" i="3"/>
  <c r="V304" i="3"/>
  <c r="W304" i="3"/>
  <c r="X304" i="3"/>
  <c r="Y304" i="3"/>
  <c r="Z304" i="3"/>
  <c r="AA304" i="3"/>
  <c r="AB304" i="3"/>
  <c r="AE304" i="3"/>
  <c r="AF304" i="3"/>
  <c r="AP304" i="3"/>
  <c r="AQ304" i="3"/>
  <c r="AR304" i="3"/>
  <c r="AS304" i="3"/>
  <c r="AT304" i="3"/>
  <c r="AU304" i="3"/>
  <c r="AV304" i="3"/>
  <c r="AY304" i="3"/>
  <c r="AY49" i="3" s="1"/>
  <c r="AZ304" i="3"/>
  <c r="AZ49" i="3" s="1"/>
  <c r="BA304" i="3"/>
  <c r="BA49" i="3" s="1"/>
  <c r="BB304" i="3"/>
  <c r="BB49" i="3" s="1"/>
  <c r="BC304" i="3"/>
  <c r="BC49" i="3" s="1"/>
  <c r="BD304" i="3"/>
  <c r="BD49" i="3" s="1"/>
  <c r="BE304" i="3"/>
  <c r="BE49" i="3" s="1"/>
  <c r="BF304" i="3"/>
  <c r="BF49" i="3" s="1"/>
  <c r="BG304" i="3"/>
  <c r="BG49" i="3" s="1"/>
  <c r="BH304" i="3"/>
  <c r="BH49" i="3" s="1"/>
  <c r="BI304" i="3"/>
  <c r="BI49" i="3" s="1"/>
  <c r="BJ304" i="3"/>
  <c r="BJ49" i="3" s="1"/>
  <c r="BK304" i="3"/>
  <c r="BK49" i="3" s="1"/>
  <c r="BL304" i="3"/>
  <c r="BL49" i="3" s="1"/>
  <c r="G304" i="3"/>
  <c r="BR286" i="3"/>
  <c r="H301" i="3"/>
  <c r="I301" i="3"/>
  <c r="J301" i="3"/>
  <c r="K301" i="3"/>
  <c r="L301" i="3"/>
  <c r="M301" i="3"/>
  <c r="N301" i="3"/>
  <c r="O301" i="3"/>
  <c r="P301" i="3"/>
  <c r="Q301" i="3"/>
  <c r="R301" i="3"/>
  <c r="S301" i="3"/>
  <c r="T301" i="3"/>
  <c r="U301" i="3"/>
  <c r="V301" i="3"/>
  <c r="W301" i="3"/>
  <c r="X301" i="3"/>
  <c r="Y301" i="3"/>
  <c r="Z301" i="3"/>
  <c r="AA301" i="3"/>
  <c r="AB301" i="3"/>
  <c r="AE301" i="3"/>
  <c r="AF301" i="3"/>
  <c r="AP301" i="3"/>
  <c r="AQ301" i="3"/>
  <c r="AR301" i="3"/>
  <c r="AS301" i="3"/>
  <c r="AT301" i="3"/>
  <c r="AU301" i="3"/>
  <c r="AV301" i="3"/>
  <c r="AY301" i="3"/>
  <c r="AY46" i="3" s="1"/>
  <c r="AZ301" i="3"/>
  <c r="AZ46" i="3" s="1"/>
  <c r="BA301" i="3"/>
  <c r="BA46" i="3" s="1"/>
  <c r="BB301" i="3"/>
  <c r="BB46" i="3" s="1"/>
  <c r="BC301" i="3"/>
  <c r="BC46" i="3" s="1"/>
  <c r="BD301" i="3"/>
  <c r="BD46" i="3" s="1"/>
  <c r="BE301" i="3"/>
  <c r="BE46" i="3" s="1"/>
  <c r="BF301" i="3"/>
  <c r="BF46" i="3" s="1"/>
  <c r="BG301" i="3"/>
  <c r="BG46" i="3" s="1"/>
  <c r="BH301" i="3"/>
  <c r="BH46" i="3" s="1"/>
  <c r="BI301" i="3"/>
  <c r="BI46" i="3" s="1"/>
  <c r="BJ301" i="3"/>
  <c r="BJ46" i="3" s="1"/>
  <c r="BK301" i="3"/>
  <c r="BK46" i="3" s="1"/>
  <c r="BL301" i="3"/>
  <c r="BL46" i="3" s="1"/>
  <c r="G301" i="3"/>
  <c r="M214" i="3"/>
  <c r="M215" i="3"/>
  <c r="M198" i="3"/>
  <c r="M199" i="3"/>
  <c r="M200" i="3"/>
  <c r="Q53" i="4"/>
  <c r="Q68" i="4"/>
  <c r="Q66" i="4"/>
  <c r="Q65" i="4"/>
  <c r="Q64" i="4"/>
  <c r="Q63" i="4"/>
  <c r="Q62" i="4"/>
  <c r="Q59" i="4"/>
  <c r="Q58" i="4"/>
  <c r="Q57" i="4"/>
  <c r="Q55" i="4"/>
  <c r="Q50" i="4"/>
  <c r="Q49" i="4"/>
  <c r="Q47" i="4"/>
  <c r="Q46" i="4"/>
  <c r="Q45" i="4"/>
  <c r="Q44" i="4"/>
  <c r="Q43" i="4"/>
  <c r="Q40" i="4"/>
  <c r="Q39" i="4"/>
  <c r="Q38" i="4"/>
  <c r="Q36" i="4"/>
  <c r="Q31" i="4"/>
  <c r="Q32" i="4"/>
  <c r="Q30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3" i="4"/>
  <c r="Q12" i="4"/>
  <c r="Q11" i="4"/>
  <c r="Q3" i="4"/>
  <c r="Q4" i="4"/>
  <c r="Q5" i="4"/>
  <c r="Q6" i="4"/>
  <c r="S6" i="4" s="1"/>
  <c r="Q7" i="4"/>
  <c r="Q8" i="4"/>
  <c r="Q9" i="4"/>
  <c r="S2" i="4"/>
  <c r="T2" i="4" s="1"/>
  <c r="R2" i="4"/>
  <c r="G263" i="3"/>
  <c r="BM262" i="3"/>
  <c r="G258" i="3"/>
  <c r="BM257" i="3"/>
  <c r="G250" i="3"/>
  <c r="BM247" i="3"/>
  <c r="G251" i="3"/>
  <c r="BM248" i="3"/>
  <c r="G238" i="3"/>
  <c r="BM235" i="3"/>
  <c r="G239" i="3"/>
  <c r="BM236" i="3"/>
  <c r="G229" i="3"/>
  <c r="BM228" i="3"/>
  <c r="G224" i="3"/>
  <c r="BM223" i="3"/>
  <c r="G219" i="3"/>
  <c r="BM218" i="3"/>
  <c r="C262" i="9"/>
  <c r="CA261" i="9"/>
  <c r="C257" i="9"/>
  <c r="CA256" i="9"/>
  <c r="C250" i="9"/>
  <c r="CA247" i="9"/>
  <c r="C249" i="9"/>
  <c r="CA246" i="9"/>
  <c r="D108" i="9"/>
  <c r="E108" i="9"/>
  <c r="F108" i="9"/>
  <c r="G108" i="9"/>
  <c r="H108" i="9"/>
  <c r="I108" i="9"/>
  <c r="J108" i="9"/>
  <c r="K108" i="9"/>
  <c r="L108" i="9"/>
  <c r="M108" i="9"/>
  <c r="N108" i="9"/>
  <c r="O108" i="9"/>
  <c r="P108" i="9"/>
  <c r="Q108" i="9"/>
  <c r="R108" i="9"/>
  <c r="S108" i="9"/>
  <c r="T108" i="9"/>
  <c r="U108" i="9"/>
  <c r="V108" i="9"/>
  <c r="W108" i="9"/>
  <c r="X108" i="9"/>
  <c r="Y108" i="9"/>
  <c r="Z108" i="9"/>
  <c r="AA108" i="9"/>
  <c r="AB108" i="9"/>
  <c r="AC108" i="9"/>
  <c r="AD108" i="9"/>
  <c r="AF108" i="9"/>
  <c r="AG108" i="9"/>
  <c r="AH108" i="9"/>
  <c r="AI108" i="9"/>
  <c r="AJ108" i="9"/>
  <c r="AK108" i="9"/>
  <c r="AL108" i="9"/>
  <c r="AM108" i="9"/>
  <c r="AN108" i="9"/>
  <c r="AO108" i="9"/>
  <c r="AP108" i="9"/>
  <c r="AQ108" i="9"/>
  <c r="AR108" i="9"/>
  <c r="AS108" i="9"/>
  <c r="AT108" i="9"/>
  <c r="AU108" i="9"/>
  <c r="AV108" i="9"/>
  <c r="AW108" i="9"/>
  <c r="AX108" i="9"/>
  <c r="AY108" i="9"/>
  <c r="AZ108" i="9"/>
  <c r="BA108" i="9"/>
  <c r="BB108" i="9"/>
  <c r="BC108" i="9"/>
  <c r="BD108" i="9"/>
  <c r="BE108" i="9"/>
  <c r="BF108" i="9"/>
  <c r="BG108" i="9"/>
  <c r="BH108" i="9"/>
  <c r="BI108" i="9"/>
  <c r="BJ108" i="9"/>
  <c r="BK108" i="9"/>
  <c r="BL108" i="9"/>
  <c r="BM108" i="9"/>
  <c r="BN108" i="9"/>
  <c r="BO108" i="9"/>
  <c r="BP108" i="9"/>
  <c r="BQ108" i="9"/>
  <c r="BR108" i="9"/>
  <c r="BS108" i="9"/>
  <c r="BT108" i="9"/>
  <c r="BU108" i="9"/>
  <c r="BV108" i="9"/>
  <c r="BW108" i="9"/>
  <c r="BX108" i="9"/>
  <c r="BY108" i="9"/>
  <c r="BZ108" i="9"/>
  <c r="C238" i="9"/>
  <c r="CA235" i="9"/>
  <c r="C237" i="9"/>
  <c r="CA234" i="9"/>
  <c r="D104" i="9"/>
  <c r="E104" i="9"/>
  <c r="F104" i="9"/>
  <c r="G104" i="9"/>
  <c r="H104" i="9"/>
  <c r="I104" i="9"/>
  <c r="J104" i="9"/>
  <c r="K104" i="9"/>
  <c r="L104" i="9"/>
  <c r="M104" i="9"/>
  <c r="N104" i="9"/>
  <c r="O104" i="9"/>
  <c r="P104" i="9"/>
  <c r="Q104" i="9"/>
  <c r="R104" i="9"/>
  <c r="S104" i="9"/>
  <c r="T104" i="9"/>
  <c r="U104" i="9"/>
  <c r="V104" i="9"/>
  <c r="W104" i="9"/>
  <c r="X104" i="9"/>
  <c r="Y104" i="9"/>
  <c r="Z104" i="9"/>
  <c r="AA104" i="9"/>
  <c r="AB104" i="9"/>
  <c r="AC104" i="9"/>
  <c r="AD104" i="9"/>
  <c r="AF104" i="9"/>
  <c r="AG104" i="9"/>
  <c r="AH104" i="9"/>
  <c r="AI104" i="9"/>
  <c r="AJ104" i="9"/>
  <c r="AK104" i="9"/>
  <c r="AL104" i="9"/>
  <c r="AM104" i="9"/>
  <c r="AN104" i="9"/>
  <c r="AO104" i="9"/>
  <c r="AP104" i="9"/>
  <c r="AQ104" i="9"/>
  <c r="AR104" i="9"/>
  <c r="AS104" i="9"/>
  <c r="AT104" i="9"/>
  <c r="AU104" i="9"/>
  <c r="AV104" i="9"/>
  <c r="AW104" i="9"/>
  <c r="AX104" i="9"/>
  <c r="AY104" i="9"/>
  <c r="AZ104" i="9"/>
  <c r="BA104" i="9"/>
  <c r="BB104" i="9"/>
  <c r="BC104" i="9"/>
  <c r="BD104" i="9"/>
  <c r="BE104" i="9"/>
  <c r="BF104" i="9"/>
  <c r="BG104" i="9"/>
  <c r="BI104" i="9"/>
  <c r="BJ104" i="9"/>
  <c r="BK104" i="9"/>
  <c r="BL104" i="9"/>
  <c r="BM104" i="9"/>
  <c r="BN104" i="9"/>
  <c r="BO104" i="9"/>
  <c r="BP104" i="9"/>
  <c r="BQ104" i="9"/>
  <c r="BR104" i="9"/>
  <c r="BS104" i="9"/>
  <c r="BT104" i="9"/>
  <c r="BU104" i="9"/>
  <c r="BV104" i="9"/>
  <c r="BW104" i="9"/>
  <c r="BX104" i="9"/>
  <c r="BY104" i="9"/>
  <c r="BZ104" i="9"/>
  <c r="C228" i="9"/>
  <c r="CA227" i="9"/>
  <c r="C223" i="9"/>
  <c r="CA222" i="9"/>
  <c r="C218" i="9"/>
  <c r="CA217" i="9"/>
  <c r="AJ149" i="9"/>
  <c r="AJ150" i="9" s="1"/>
  <c r="AJ151" i="9" s="1"/>
  <c r="AK149" i="9"/>
  <c r="AK150" i="9" s="1"/>
  <c r="AK151" i="9" s="1"/>
  <c r="AL149" i="9"/>
  <c r="AL150" i="9" s="1"/>
  <c r="AL151" i="9" s="1"/>
  <c r="AM149" i="9"/>
  <c r="AM150" i="9" s="1"/>
  <c r="AM151" i="9" s="1"/>
  <c r="AN149" i="9"/>
  <c r="AN150" i="9" s="1"/>
  <c r="AN151" i="9" s="1"/>
  <c r="AO149" i="9"/>
  <c r="AO150" i="9" s="1"/>
  <c r="AO151" i="9" s="1"/>
  <c r="AP149" i="9"/>
  <c r="AP150" i="9" s="1"/>
  <c r="AP151" i="9" s="1"/>
  <c r="AS149" i="9"/>
  <c r="AS150" i="9" s="1"/>
  <c r="AS151" i="9" s="1"/>
  <c r="AU149" i="9"/>
  <c r="AU150" i="9" s="1"/>
  <c r="AU151" i="9" s="1"/>
  <c r="AV149" i="9"/>
  <c r="AV150" i="9" s="1"/>
  <c r="AV151" i="9" s="1"/>
  <c r="AY149" i="9"/>
  <c r="AY150" i="9" s="1"/>
  <c r="AY151" i="9" s="1"/>
  <c r="BC149" i="9"/>
  <c r="BC150" i="9" s="1"/>
  <c r="BC151" i="9" s="1"/>
  <c r="BD149" i="9"/>
  <c r="BD150" i="9" s="1"/>
  <c r="BD151" i="9" s="1"/>
  <c r="BE149" i="9"/>
  <c r="BE150" i="9" s="1"/>
  <c r="BE151" i="9" s="1"/>
  <c r="BF149" i="9"/>
  <c r="BF150" i="9" s="1"/>
  <c r="BF151" i="9" s="1"/>
  <c r="BJ149" i="9"/>
  <c r="BJ150" i="9" s="1"/>
  <c r="BJ151" i="9" s="1"/>
  <c r="BK149" i="9"/>
  <c r="BK150" i="9" s="1"/>
  <c r="BK151" i="9" s="1"/>
  <c r="BL149" i="9"/>
  <c r="BL150" i="9" s="1"/>
  <c r="BL151" i="9" s="1"/>
  <c r="BM149" i="9"/>
  <c r="BM150" i="9" s="1"/>
  <c r="BM151" i="9" s="1"/>
  <c r="BN149" i="9"/>
  <c r="BN150" i="9" s="1"/>
  <c r="BN151" i="9" s="1"/>
  <c r="BO149" i="9"/>
  <c r="BO150" i="9" s="1"/>
  <c r="BO151" i="9" s="1"/>
  <c r="BP149" i="9"/>
  <c r="BP150" i="9" s="1"/>
  <c r="BP151" i="9" s="1"/>
  <c r="BQ149" i="9"/>
  <c r="BQ150" i="9" s="1"/>
  <c r="BQ151" i="9" s="1"/>
  <c r="BR149" i="9"/>
  <c r="BR150" i="9" s="1"/>
  <c r="BR151" i="9" s="1"/>
  <c r="BS149" i="9"/>
  <c r="BS150" i="9" s="1"/>
  <c r="BS151" i="9" s="1"/>
  <c r="BT149" i="9"/>
  <c r="BT150" i="9" s="1"/>
  <c r="BT151" i="9" s="1"/>
  <c r="BU149" i="9"/>
  <c r="BU150" i="9" s="1"/>
  <c r="BU151" i="9" s="1"/>
  <c r="BV149" i="9"/>
  <c r="BV150" i="9" s="1"/>
  <c r="BV151" i="9" s="1"/>
  <c r="BW149" i="9"/>
  <c r="BW150" i="9" s="1"/>
  <c r="BW151" i="9" s="1"/>
  <c r="BX149" i="9"/>
  <c r="BX150" i="9" s="1"/>
  <c r="BX151" i="9" s="1"/>
  <c r="BY149" i="9"/>
  <c r="BY150" i="9" s="1"/>
  <c r="BY151" i="9" s="1"/>
  <c r="BZ149" i="9"/>
  <c r="BZ150" i="9" s="1"/>
  <c r="BZ151" i="9" s="1"/>
  <c r="C214" i="9"/>
  <c r="CA210" i="9"/>
  <c r="C213" i="9"/>
  <c r="CA209" i="9"/>
  <c r="C212" i="9"/>
  <c r="CA208" i="9"/>
  <c r="C198" i="9"/>
  <c r="CA194" i="9"/>
  <c r="C197" i="9"/>
  <c r="CA193" i="9"/>
  <c r="C196" i="9"/>
  <c r="CA192" i="9"/>
  <c r="B181" i="9"/>
  <c r="CA181" i="9" s="1"/>
  <c r="CA180" i="9"/>
  <c r="C61" i="9"/>
  <c r="CA60" i="9"/>
  <c r="CA61" i="9" s="1"/>
  <c r="AF149" i="9"/>
  <c r="AF150" i="9" s="1"/>
  <c r="AF151" i="9" s="1"/>
  <c r="AI149" i="9"/>
  <c r="AI150" i="9" s="1"/>
  <c r="AI151" i="9" s="1"/>
  <c r="AR149" i="9"/>
  <c r="AR150" i="9" s="1"/>
  <c r="AR151" i="9" s="1"/>
  <c r="AT149" i="9"/>
  <c r="AT150" i="9" s="1"/>
  <c r="AT151" i="9" s="1"/>
  <c r="BG149" i="9"/>
  <c r="BG150" i="9" s="1"/>
  <c r="BG151" i="9" s="1"/>
  <c r="BH149" i="9"/>
  <c r="BH150" i="9" s="1"/>
  <c r="BH151" i="9" s="1"/>
  <c r="CA147" i="9"/>
  <c r="CA143" i="9"/>
  <c r="CA144" i="9"/>
  <c r="CA117" i="9"/>
  <c r="CA114" i="9"/>
  <c r="CA91" i="9"/>
  <c r="CC91" i="9" s="1"/>
  <c r="CC89" i="9"/>
  <c r="CA77" i="9"/>
  <c r="CA70" i="9"/>
  <c r="B149" i="9"/>
  <c r="CA33" i="9"/>
  <c r="B33" i="9"/>
  <c r="B34" i="9" s="1"/>
  <c r="B150" i="9" s="1"/>
  <c r="B151" i="9" s="1"/>
  <c r="G215" i="3"/>
  <c r="BM212" i="3"/>
  <c r="G214" i="3"/>
  <c r="BM211" i="3"/>
  <c r="BM210" i="3"/>
  <c r="G200" i="3"/>
  <c r="BM196" i="3"/>
  <c r="G199" i="3"/>
  <c r="BM195" i="3"/>
  <c r="G198" i="3"/>
  <c r="BM194" i="3"/>
  <c r="B179" i="1"/>
  <c r="BZ178" i="1"/>
  <c r="BZ157" i="1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AX42" i="3" l="1"/>
  <c r="AX46" i="3"/>
  <c r="AX49" i="3"/>
  <c r="AX48" i="3"/>
  <c r="AX47" i="3"/>
  <c r="AX52" i="3"/>
  <c r="BM301" i="3"/>
  <c r="BM304" i="3"/>
  <c r="BM303" i="3"/>
  <c r="BM302" i="3"/>
  <c r="BM305" i="3"/>
  <c r="M220" i="3"/>
  <c r="M225" i="3"/>
  <c r="M230" i="3"/>
  <c r="M242" i="3"/>
  <c r="M241" i="3"/>
  <c r="M254" i="3"/>
  <c r="M253" i="3"/>
  <c r="M259" i="3"/>
  <c r="M264" i="3"/>
  <c r="G6" i="6"/>
  <c r="AY6" i="6" s="1"/>
  <c r="S9" i="4"/>
  <c r="T9" i="4" s="1"/>
  <c r="G13" i="6" s="1"/>
  <c r="AY13" i="6" s="1"/>
  <c r="R9" i="4"/>
  <c r="S8" i="4"/>
  <c r="R8" i="4"/>
  <c r="S7" i="4"/>
  <c r="T7" i="4" s="1"/>
  <c r="G11" i="6" s="1"/>
  <c r="AY11" i="6" s="1"/>
  <c r="R7" i="4"/>
  <c r="T6" i="4"/>
  <c r="G10" i="6" s="1"/>
  <c r="AY10" i="6" s="1"/>
  <c r="R6" i="4"/>
  <c r="S5" i="4"/>
  <c r="T5" i="4" s="1"/>
  <c r="G9" i="6" s="1"/>
  <c r="AY9" i="6" s="1"/>
  <c r="R5" i="4"/>
  <c r="S4" i="4"/>
  <c r="T4" i="4" s="1"/>
  <c r="R4" i="4"/>
  <c r="S3" i="4"/>
  <c r="T3" i="4" s="1"/>
  <c r="R3" i="4"/>
  <c r="S11" i="4"/>
  <c r="T11" i="4" s="1"/>
  <c r="R11" i="4"/>
  <c r="S12" i="4"/>
  <c r="T12" i="4" s="1"/>
  <c r="R12" i="4"/>
  <c r="S13" i="4"/>
  <c r="T13" i="4" s="1"/>
  <c r="R13" i="4"/>
  <c r="T14" i="4"/>
  <c r="R14" i="4"/>
  <c r="S15" i="4"/>
  <c r="T15" i="4" s="1"/>
  <c r="R15" i="4"/>
  <c r="S16" i="4"/>
  <c r="T16" i="4" s="1"/>
  <c r="R16" i="4"/>
  <c r="S17" i="4"/>
  <c r="T17" i="4" s="1"/>
  <c r="R17" i="4"/>
  <c r="S18" i="4"/>
  <c r="T18" i="4" s="1"/>
  <c r="G22" i="6" s="1"/>
  <c r="AY22" i="6" s="1"/>
  <c r="R18" i="4"/>
  <c r="S19" i="4"/>
  <c r="T19" i="4" s="1"/>
  <c r="G23" i="6" s="1"/>
  <c r="AY23" i="6" s="1"/>
  <c r="R19" i="4"/>
  <c r="S20" i="4"/>
  <c r="T20" i="4" s="1"/>
  <c r="R20" i="4"/>
  <c r="S21" i="4"/>
  <c r="T21" i="4" s="1"/>
  <c r="G25" i="6" s="1"/>
  <c r="R21" i="4"/>
  <c r="S22" i="4"/>
  <c r="T22" i="4" s="1"/>
  <c r="R22" i="4"/>
  <c r="S23" i="4"/>
  <c r="T23" i="4" s="1"/>
  <c r="R23" i="4"/>
  <c r="S24" i="4"/>
  <c r="T24" i="4" s="1"/>
  <c r="R24" i="4"/>
  <c r="S25" i="4"/>
  <c r="T25" i="4" s="1"/>
  <c r="G29" i="6" s="1"/>
  <c r="AY29" i="6" s="1"/>
  <c r="R25" i="4"/>
  <c r="S26" i="4"/>
  <c r="T26" i="4" s="1"/>
  <c r="G30" i="6" s="1"/>
  <c r="AY30" i="6" s="1"/>
  <c r="R26" i="4"/>
  <c r="S27" i="4"/>
  <c r="T27" i="4" s="1"/>
  <c r="R27" i="4"/>
  <c r="S28" i="4"/>
  <c r="T28" i="4" s="1"/>
  <c r="R28" i="4"/>
  <c r="T29" i="4"/>
  <c r="S30" i="4"/>
  <c r="T30" i="4" s="1"/>
  <c r="R30" i="4"/>
  <c r="S32" i="4"/>
  <c r="T32" i="4" s="1"/>
  <c r="R32" i="4"/>
  <c r="S31" i="4"/>
  <c r="T31" i="4" s="1"/>
  <c r="R31" i="4"/>
  <c r="T33" i="4"/>
  <c r="T34" i="4"/>
  <c r="T35" i="4"/>
  <c r="G39" i="6" s="1"/>
  <c r="AY39" i="6" s="1"/>
  <c r="S36" i="4"/>
  <c r="T36" i="4" s="1"/>
  <c r="G40" i="6" s="1"/>
  <c r="AY40" i="6" s="1"/>
  <c r="R36" i="4"/>
  <c r="T37" i="4"/>
  <c r="S38" i="4"/>
  <c r="T38" i="4" s="1"/>
  <c r="R38" i="4"/>
  <c r="S39" i="4"/>
  <c r="T39" i="4" s="1"/>
  <c r="R39" i="4"/>
  <c r="S40" i="4"/>
  <c r="T40" i="4" s="1"/>
  <c r="R40" i="4"/>
  <c r="T41" i="4"/>
  <c r="T42" i="4"/>
  <c r="S43" i="4"/>
  <c r="T43" i="4" s="1"/>
  <c r="G47" i="6" s="1"/>
  <c r="AY47" i="6" s="1"/>
  <c r="R43" i="4"/>
  <c r="S44" i="4"/>
  <c r="T44" i="4" s="1"/>
  <c r="G48" i="6" s="1"/>
  <c r="AY48" i="6" s="1"/>
  <c r="R44" i="4"/>
  <c r="S45" i="4"/>
  <c r="T45" i="4" s="1"/>
  <c r="R45" i="4"/>
  <c r="S46" i="4"/>
  <c r="T46" i="4" s="1"/>
  <c r="R46" i="4"/>
  <c r="S47" i="4"/>
  <c r="T47" i="4" s="1"/>
  <c r="R47" i="4"/>
  <c r="T48" i="4"/>
  <c r="S49" i="4"/>
  <c r="T49" i="4" s="1"/>
  <c r="R49" i="4"/>
  <c r="S50" i="4"/>
  <c r="T50" i="4" s="1"/>
  <c r="R50" i="4"/>
  <c r="T54" i="4"/>
  <c r="G58" i="6" s="1"/>
  <c r="AY58" i="6" s="1"/>
  <c r="S55" i="4"/>
  <c r="T55" i="4" s="1"/>
  <c r="R55" i="4"/>
  <c r="S57" i="4"/>
  <c r="T57" i="4" s="1"/>
  <c r="G61" i="6" s="1"/>
  <c r="AY61" i="6" s="1"/>
  <c r="R57" i="4"/>
  <c r="S58" i="4"/>
  <c r="T58" i="4" s="1"/>
  <c r="R58" i="4"/>
  <c r="S59" i="4"/>
  <c r="T59" i="4" s="1"/>
  <c r="G63" i="6" s="1"/>
  <c r="AY63" i="6" s="1"/>
  <c r="R59" i="4"/>
  <c r="T60" i="4"/>
  <c r="T61" i="4"/>
  <c r="S62" i="4"/>
  <c r="T62" i="4" s="1"/>
  <c r="R62" i="4"/>
  <c r="S63" i="4"/>
  <c r="T63" i="4" s="1"/>
  <c r="R63" i="4"/>
  <c r="S64" i="4"/>
  <c r="T64" i="4" s="1"/>
  <c r="G68" i="6" s="1"/>
  <c r="AY68" i="6" s="1"/>
  <c r="R64" i="4"/>
  <c r="S65" i="4"/>
  <c r="T65" i="4" s="1"/>
  <c r="R65" i="4"/>
  <c r="S66" i="4"/>
  <c r="T66" i="4" s="1"/>
  <c r="R66" i="4"/>
  <c r="S68" i="4"/>
  <c r="T68" i="4" s="1"/>
  <c r="R68" i="4"/>
  <c r="S53" i="4"/>
  <c r="T53" i="4" s="1"/>
  <c r="R53" i="4"/>
  <c r="T56" i="4"/>
  <c r="AA71" i="6"/>
  <c r="G220" i="3"/>
  <c r="BM219" i="3"/>
  <c r="G225" i="3"/>
  <c r="BM224" i="3"/>
  <c r="G230" i="3"/>
  <c r="BM229" i="3"/>
  <c r="G242" i="3"/>
  <c r="BM239" i="3"/>
  <c r="G241" i="3"/>
  <c r="BM238" i="3"/>
  <c r="G254" i="3"/>
  <c r="BM251" i="3"/>
  <c r="G253" i="3"/>
  <c r="BM250" i="3"/>
  <c r="G259" i="3"/>
  <c r="BM258" i="3"/>
  <c r="G264" i="3"/>
  <c r="BM263" i="3"/>
  <c r="CA34" i="9"/>
  <c r="CC33" i="9"/>
  <c r="CC179" i="9" s="1"/>
  <c r="CA196" i="9"/>
  <c r="C63" i="9"/>
  <c r="CA197" i="9"/>
  <c r="C64" i="9"/>
  <c r="CA64" i="9" s="1"/>
  <c r="CA198" i="9"/>
  <c r="C65" i="9"/>
  <c r="CA65" i="9" s="1"/>
  <c r="CA212" i="9"/>
  <c r="C79" i="9"/>
  <c r="CA213" i="9"/>
  <c r="C80" i="9"/>
  <c r="CA80" i="9" s="1"/>
  <c r="CA214" i="9"/>
  <c r="C81" i="9"/>
  <c r="CA81" i="9" s="1"/>
  <c r="C219" i="9"/>
  <c r="CA218" i="9"/>
  <c r="C224" i="9"/>
  <c r="CA223" i="9"/>
  <c r="C229" i="9"/>
  <c r="CA228" i="9"/>
  <c r="C240" i="9"/>
  <c r="CA237" i="9"/>
  <c r="C241" i="9"/>
  <c r="CA238" i="9"/>
  <c r="C252" i="9"/>
  <c r="CA249" i="9"/>
  <c r="C253" i="9"/>
  <c r="CA250" i="9"/>
  <c r="C258" i="9"/>
  <c r="CA257" i="9"/>
  <c r="C263" i="9"/>
  <c r="CA262" i="9"/>
  <c r="BM198" i="3"/>
  <c r="BM199" i="3"/>
  <c r="BM200" i="3"/>
  <c r="BM214" i="3"/>
  <c r="BM215" i="3"/>
  <c r="B181" i="1"/>
  <c r="BZ179" i="1"/>
  <c r="B158" i="1"/>
  <c r="D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C158" i="1"/>
  <c r="L10" i="6"/>
  <c r="X10" i="6"/>
  <c r="AC10" i="6"/>
  <c r="H25" i="6"/>
  <c r="P25" i="6"/>
  <c r="Q25" i="6"/>
  <c r="W25" i="6"/>
  <c r="X25" i="6"/>
  <c r="AC25" i="6"/>
  <c r="N63" i="6"/>
  <c r="O63" i="6"/>
  <c r="P63" i="6"/>
  <c r="Q63" i="6"/>
  <c r="R63" i="6"/>
  <c r="K71" i="6"/>
  <c r="N71" i="6"/>
  <c r="S71" i="6"/>
  <c r="V71" i="6"/>
  <c r="W71" i="6"/>
  <c r="AG71" i="6"/>
  <c r="AM71" i="6"/>
  <c r="U71" i="4"/>
  <c r="AJ25" i="6" l="1"/>
  <c r="AY25" i="6"/>
  <c r="AN25" i="6"/>
  <c r="AM25" i="6"/>
  <c r="AO29" i="6"/>
  <c r="AW29" i="6"/>
  <c r="AX29" i="6"/>
  <c r="AS29" i="6"/>
  <c r="AQ29" i="6"/>
  <c r="AU29" i="6"/>
  <c r="AP29" i="6"/>
  <c r="AV29" i="6"/>
  <c r="AR29" i="6"/>
  <c r="AT29" i="6"/>
  <c r="AU9" i="6"/>
  <c r="AW9" i="6"/>
  <c r="AT9" i="6"/>
  <c r="AX9" i="6"/>
  <c r="I9" i="6"/>
  <c r="AP9" i="6"/>
  <c r="AS9" i="6"/>
  <c r="AR9" i="6"/>
  <c r="AO9" i="6"/>
  <c r="AQ9" i="6"/>
  <c r="AV9" i="6"/>
  <c r="AO63" i="6"/>
  <c r="AW63" i="6"/>
  <c r="AS63" i="6"/>
  <c r="AX63" i="6"/>
  <c r="AQ63" i="6"/>
  <c r="AU63" i="6"/>
  <c r="AP63" i="6"/>
  <c r="AR63" i="6"/>
  <c r="AT63" i="6"/>
  <c r="AV63" i="6"/>
  <c r="AO10" i="6"/>
  <c r="AW10" i="6"/>
  <c r="AX10" i="6"/>
  <c r="AS10" i="6"/>
  <c r="AU10" i="6"/>
  <c r="AP10" i="6"/>
  <c r="AQ10" i="6"/>
  <c r="AT10" i="6"/>
  <c r="AR10" i="6"/>
  <c r="AV10" i="6"/>
  <c r="AX61" i="6"/>
  <c r="AS61" i="6"/>
  <c r="AP61" i="6"/>
  <c r="AQ61" i="6"/>
  <c r="AT61" i="6"/>
  <c r="AR61" i="6"/>
  <c r="AV61" i="6"/>
  <c r="AW61" i="6"/>
  <c r="AO61" i="6"/>
  <c r="AU61" i="6"/>
  <c r="AP25" i="6"/>
  <c r="AQ25" i="6"/>
  <c r="AR25" i="6"/>
  <c r="AS25" i="6"/>
  <c r="AT25" i="6"/>
  <c r="AU25" i="6"/>
  <c r="AV25" i="6"/>
  <c r="AO25" i="6"/>
  <c r="AW25" i="6"/>
  <c r="AX25" i="6"/>
  <c r="AV13" i="6"/>
  <c r="AP13" i="6"/>
  <c r="AO13" i="6"/>
  <c r="AW13" i="6"/>
  <c r="AQ13" i="6"/>
  <c r="AR13" i="6"/>
  <c r="AX13" i="6"/>
  <c r="AT13" i="6"/>
  <c r="AS13" i="6"/>
  <c r="AU13" i="6"/>
  <c r="AS40" i="6"/>
  <c r="AT40" i="6"/>
  <c r="AU40" i="6"/>
  <c r="AO40" i="6"/>
  <c r="AP40" i="6"/>
  <c r="AW40" i="6"/>
  <c r="AX40" i="6"/>
  <c r="AQ40" i="6"/>
  <c r="AR40" i="6"/>
  <c r="AV40" i="6"/>
  <c r="AB25" i="6"/>
  <c r="AP6" i="6"/>
  <c r="AR6" i="6"/>
  <c r="AQ6" i="6"/>
  <c r="AO6" i="6"/>
  <c r="AU68" i="6"/>
  <c r="AV68" i="6"/>
  <c r="AO68" i="6"/>
  <c r="AW68" i="6"/>
  <c r="AX68" i="6"/>
  <c r="AP68" i="6"/>
  <c r="AS68" i="6"/>
  <c r="AQ68" i="6"/>
  <c r="AR68" i="6"/>
  <c r="AT68" i="6"/>
  <c r="AA25" i="6"/>
  <c r="AV47" i="6"/>
  <c r="AP47" i="6"/>
  <c r="AO47" i="6"/>
  <c r="AW47" i="6"/>
  <c r="AQ47" i="6"/>
  <c r="AR47" i="6"/>
  <c r="AX47" i="6"/>
  <c r="AT47" i="6"/>
  <c r="AU47" i="6"/>
  <c r="AS47" i="6"/>
  <c r="AS23" i="6"/>
  <c r="AT23" i="6"/>
  <c r="AU23" i="6"/>
  <c r="AV23" i="6"/>
  <c r="AW23" i="6"/>
  <c r="AQ23" i="6"/>
  <c r="AR23" i="6"/>
  <c r="AX23" i="6"/>
  <c r="AP23" i="6"/>
  <c r="AO23" i="6"/>
  <c r="V25" i="6"/>
  <c r="U25" i="6"/>
  <c r="Z25" i="6"/>
  <c r="AV48" i="6"/>
  <c r="AO48" i="6"/>
  <c r="AW48" i="6"/>
  <c r="AP48" i="6"/>
  <c r="AX48" i="6"/>
  <c r="AQ48" i="6"/>
  <c r="AR48" i="6"/>
  <c r="AS48" i="6"/>
  <c r="AT48" i="6"/>
  <c r="AU48" i="6"/>
  <c r="AP58" i="6"/>
  <c r="AQ58" i="6"/>
  <c r="AR58" i="6"/>
  <c r="AS58" i="6"/>
  <c r="AT58" i="6"/>
  <c r="AU58" i="6"/>
  <c r="AV58" i="6"/>
  <c r="AW58" i="6"/>
  <c r="AO58" i="6"/>
  <c r="AX58" i="6"/>
  <c r="AS22" i="6"/>
  <c r="AT22" i="6"/>
  <c r="AU22" i="6"/>
  <c r="AR22" i="6"/>
  <c r="AP22" i="6"/>
  <c r="AV22" i="6"/>
  <c r="AQ22" i="6"/>
  <c r="AX22" i="6"/>
  <c r="AO22" i="6"/>
  <c r="AW22" i="6"/>
  <c r="AV39" i="6"/>
  <c r="AS39" i="6"/>
  <c r="AU39" i="6"/>
  <c r="AT39" i="6"/>
  <c r="AW39" i="6"/>
  <c r="AQ39" i="6"/>
  <c r="AX39" i="6"/>
  <c r="AR39" i="6"/>
  <c r="AP39" i="6"/>
  <c r="AO39" i="6"/>
  <c r="T25" i="6"/>
  <c r="S25" i="6"/>
  <c r="AV30" i="6"/>
  <c r="AQ30" i="6"/>
  <c r="AR30" i="6"/>
  <c r="AO30" i="6"/>
  <c r="AW30" i="6"/>
  <c r="AX30" i="6"/>
  <c r="AS30" i="6"/>
  <c r="AT30" i="6"/>
  <c r="AU30" i="6"/>
  <c r="AP30" i="6"/>
  <c r="R25" i="6"/>
  <c r="AX11" i="6"/>
  <c r="AR11" i="6"/>
  <c r="AT11" i="6"/>
  <c r="AS11" i="6"/>
  <c r="AU11" i="6"/>
  <c r="AO11" i="6"/>
  <c r="AW11" i="6"/>
  <c r="AQ11" i="6"/>
  <c r="AP11" i="6"/>
  <c r="AV11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H48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S6" i="6"/>
  <c r="AT6" i="6"/>
  <c r="AU6" i="6"/>
  <c r="AV6" i="6"/>
  <c r="AW6" i="6"/>
  <c r="AX6" i="6"/>
  <c r="AD11" i="6"/>
  <c r="AE11" i="6"/>
  <c r="AD68" i="6"/>
  <c r="AE68" i="6"/>
  <c r="AD63" i="6"/>
  <c r="AE63" i="6"/>
  <c r="AD61" i="6"/>
  <c r="AE61" i="6"/>
  <c r="AD58" i="6"/>
  <c r="AE58" i="6"/>
  <c r="AD47" i="6"/>
  <c r="AE47" i="6"/>
  <c r="AD40" i="6"/>
  <c r="AE40" i="6"/>
  <c r="AD39" i="6"/>
  <c r="AE39" i="6"/>
  <c r="AD30" i="6"/>
  <c r="AE30" i="6"/>
  <c r="AD29" i="6"/>
  <c r="AE29" i="6"/>
  <c r="AD25" i="6"/>
  <c r="AE25" i="6"/>
  <c r="AD23" i="6"/>
  <c r="AE23" i="6"/>
  <c r="AD22" i="6"/>
  <c r="AE22" i="6"/>
  <c r="AD9" i="6"/>
  <c r="AE9" i="6"/>
  <c r="AD10" i="6"/>
  <c r="AE10" i="6"/>
  <c r="AD13" i="6"/>
  <c r="AE13" i="6"/>
  <c r="P11" i="6"/>
  <c r="J9" i="6"/>
  <c r="S10" i="6"/>
  <c r="S13" i="6"/>
  <c r="I63" i="6"/>
  <c r="Y58" i="6"/>
  <c r="I25" i="6"/>
  <c r="M63" i="6"/>
  <c r="L63" i="6"/>
  <c r="N25" i="6"/>
  <c r="AK25" i="6"/>
  <c r="J25" i="6"/>
  <c r="BM83" i="3"/>
  <c r="BS83" i="3"/>
  <c r="BM63" i="3"/>
  <c r="BS63" i="3"/>
  <c r="BM84" i="3"/>
  <c r="BS84" i="3"/>
  <c r="T8" i="4"/>
  <c r="K63" i="6"/>
  <c r="AN63" i="6"/>
  <c r="AL63" i="6"/>
  <c r="V63" i="6"/>
  <c r="AL25" i="6"/>
  <c r="O25" i="6"/>
  <c r="AF25" i="6"/>
  <c r="G59" i="6"/>
  <c r="AY59" i="6" s="1"/>
  <c r="G66" i="6"/>
  <c r="AY66" i="6" s="1"/>
  <c r="I55" i="6"/>
  <c r="G54" i="6"/>
  <c r="AY54" i="6" s="1"/>
  <c r="G46" i="6"/>
  <c r="AY46" i="6" s="1"/>
  <c r="AI39" i="6"/>
  <c r="G38" i="6"/>
  <c r="G16" i="6"/>
  <c r="AY16" i="6" s="1"/>
  <c r="R61" i="6"/>
  <c r="G60" i="6"/>
  <c r="G65" i="6"/>
  <c r="AY65" i="6" s="1"/>
  <c r="G53" i="6"/>
  <c r="AY53" i="6" s="1"/>
  <c r="G45" i="6"/>
  <c r="G37" i="6"/>
  <c r="G21" i="6"/>
  <c r="AY21" i="6" s="1"/>
  <c r="G24" i="6"/>
  <c r="AY24" i="6" s="1"/>
  <c r="G57" i="6"/>
  <c r="AY57" i="6" s="1"/>
  <c r="G64" i="6"/>
  <c r="AY64" i="6" s="1"/>
  <c r="G52" i="6"/>
  <c r="AY52" i="6" s="1"/>
  <c r="G44" i="6"/>
  <c r="AY44" i="6" s="1"/>
  <c r="G35" i="6"/>
  <c r="AY35" i="6" s="1"/>
  <c r="G28" i="6"/>
  <c r="AY28" i="6" s="1"/>
  <c r="G20" i="6"/>
  <c r="AY20" i="6" s="1"/>
  <c r="J68" i="6"/>
  <c r="G67" i="6"/>
  <c r="G72" i="6"/>
  <c r="AY72" i="6" s="1"/>
  <c r="G51" i="6"/>
  <c r="AY51" i="6" s="1"/>
  <c r="G43" i="6"/>
  <c r="AY43" i="6" s="1"/>
  <c r="G36" i="6"/>
  <c r="AY36" i="6" s="1"/>
  <c r="G27" i="6"/>
  <c r="G19" i="6"/>
  <c r="AY19" i="6" s="1"/>
  <c r="AI25" i="6"/>
  <c r="M25" i="6"/>
  <c r="G32" i="6"/>
  <c r="AY32" i="6" s="1"/>
  <c r="AH25" i="6"/>
  <c r="L25" i="6"/>
  <c r="T71" i="6"/>
  <c r="G70" i="6"/>
  <c r="AY70" i="6" s="1"/>
  <c r="G62" i="6"/>
  <c r="AY62" i="6" s="1"/>
  <c r="G50" i="6"/>
  <c r="AY50" i="6" s="1"/>
  <c r="G42" i="6"/>
  <c r="AY42" i="6" s="1"/>
  <c r="G34" i="6"/>
  <c r="AY34" i="6" s="1"/>
  <c r="G26" i="6"/>
  <c r="AY26" i="6" s="1"/>
  <c r="G18" i="6"/>
  <c r="AY18" i="6" s="1"/>
  <c r="AG25" i="6"/>
  <c r="K25" i="6"/>
  <c r="G31" i="6"/>
  <c r="AY31" i="6" s="1"/>
  <c r="G15" i="6"/>
  <c r="AY15" i="6" s="1"/>
  <c r="G69" i="6"/>
  <c r="AY69" i="6" s="1"/>
  <c r="G49" i="6"/>
  <c r="G41" i="6"/>
  <c r="AY41" i="6" s="1"/>
  <c r="G33" i="6"/>
  <c r="AY33" i="6" s="1"/>
  <c r="G17" i="6"/>
  <c r="AY17" i="6" s="1"/>
  <c r="Y25" i="6"/>
  <c r="AI10" i="6"/>
  <c r="AH10" i="6"/>
  <c r="AG10" i="6"/>
  <c r="P10" i="6"/>
  <c r="M10" i="6"/>
  <c r="AI63" i="6"/>
  <c r="X58" i="6"/>
  <c r="AC45" i="6"/>
  <c r="W58" i="6"/>
  <c r="H55" i="6"/>
  <c r="I67" i="6"/>
  <c r="AM53" i="6"/>
  <c r="N10" i="6"/>
  <c r="T58" i="6"/>
  <c r="V58" i="6"/>
  <c r="U58" i="6"/>
  <c r="AF11" i="6"/>
  <c r="L11" i="6"/>
  <c r="M11" i="6"/>
  <c r="R58" i="6"/>
  <c r="Q58" i="6"/>
  <c r="Q53" i="6"/>
  <c r="V45" i="6"/>
  <c r="K11" i="6"/>
  <c r="AI9" i="6"/>
  <c r="J11" i="6"/>
  <c r="W9" i="6"/>
  <c r="M61" i="6"/>
  <c r="AC39" i="6"/>
  <c r="I11" i="6"/>
  <c r="S58" i="6"/>
  <c r="R53" i="6"/>
  <c r="L61" i="6"/>
  <c r="N53" i="6"/>
  <c r="X39" i="6"/>
  <c r="K68" i="6"/>
  <c r="AM10" i="6"/>
  <c r="AN61" i="6"/>
  <c r="AL61" i="6"/>
  <c r="I38" i="6"/>
  <c r="AK61" i="6"/>
  <c r="AJ61" i="6"/>
  <c r="AL11" i="6"/>
  <c r="K47" i="6"/>
  <c r="AK11" i="6"/>
  <c r="P61" i="6"/>
  <c r="H47" i="6"/>
  <c r="AJ11" i="6"/>
  <c r="AM61" i="6"/>
  <c r="O61" i="6"/>
  <c r="AH39" i="6"/>
  <c r="N61" i="6"/>
  <c r="AG39" i="6"/>
  <c r="AI11" i="6"/>
  <c r="AH11" i="6"/>
  <c r="S11" i="6"/>
  <c r="R11" i="6"/>
  <c r="AG11" i="6"/>
  <c r="AC11" i="6"/>
  <c r="Q11" i="6"/>
  <c r="O11" i="6"/>
  <c r="W11" i="6"/>
  <c r="N11" i="6"/>
  <c r="O10" i="6"/>
  <c r="AK10" i="6"/>
  <c r="J10" i="6"/>
  <c r="AJ10" i="6"/>
  <c r="I10" i="6"/>
  <c r="AF10" i="6"/>
  <c r="AL10" i="6"/>
  <c r="K10" i="6"/>
  <c r="H10" i="6"/>
  <c r="AB10" i="6"/>
  <c r="AH9" i="6"/>
  <c r="AG9" i="6"/>
  <c r="AC9" i="6"/>
  <c r="Y13" i="6"/>
  <c r="K58" i="6"/>
  <c r="AG58" i="6"/>
  <c r="L58" i="6"/>
  <c r="AH58" i="6"/>
  <c r="M58" i="6"/>
  <c r="AI58" i="6"/>
  <c r="N58" i="6"/>
  <c r="O58" i="6"/>
  <c r="P58" i="6"/>
  <c r="AI61" i="6"/>
  <c r="V9" i="6"/>
  <c r="AN58" i="6"/>
  <c r="L53" i="6"/>
  <c r="N9" i="6"/>
  <c r="U61" i="6"/>
  <c r="H58" i="6"/>
  <c r="AJ53" i="6"/>
  <c r="AN21" i="6"/>
  <c r="S61" i="6"/>
  <c r="AK58" i="6"/>
  <c r="AJ58" i="6"/>
  <c r="AI68" i="6"/>
  <c r="L68" i="6"/>
  <c r="Z61" i="6"/>
  <c r="V61" i="6"/>
  <c r="I61" i="6"/>
  <c r="AB61" i="6"/>
  <c r="W61" i="6"/>
  <c r="X61" i="6"/>
  <c r="Y61" i="6"/>
  <c r="AF61" i="6"/>
  <c r="H61" i="6"/>
  <c r="J61" i="6"/>
  <c r="AC61" i="6"/>
  <c r="K61" i="6"/>
  <c r="AG61" i="6"/>
  <c r="V53" i="6"/>
  <c r="Y53" i="6"/>
  <c r="W53" i="6"/>
  <c r="H53" i="6"/>
  <c r="X53" i="6"/>
  <c r="I53" i="6"/>
  <c r="AC53" i="6"/>
  <c r="AG53" i="6"/>
  <c r="K53" i="6"/>
  <c r="AB53" i="6"/>
  <c r="Y20" i="6"/>
  <c r="AC20" i="6"/>
  <c r="AG20" i="6"/>
  <c r="K20" i="6"/>
  <c r="P20" i="6"/>
  <c r="AL9" i="6"/>
  <c r="AK9" i="6"/>
  <c r="AM9" i="6"/>
  <c r="H9" i="6"/>
  <c r="AN9" i="6"/>
  <c r="Z9" i="6"/>
  <c r="S9" i="6"/>
  <c r="X9" i="6"/>
  <c r="J58" i="6"/>
  <c r="AH61" i="6"/>
  <c r="I58" i="6"/>
  <c r="AK53" i="6"/>
  <c r="AM58" i="6"/>
  <c r="T61" i="6"/>
  <c r="AL58" i="6"/>
  <c r="Q61" i="6"/>
  <c r="AC58" i="6"/>
  <c r="AI53" i="6"/>
  <c r="V20" i="6"/>
  <c r="Y11" i="6"/>
  <c r="H11" i="6"/>
  <c r="AM63" i="6"/>
  <c r="X11" i="6"/>
  <c r="Y10" i="6"/>
  <c r="Z10" i="6"/>
  <c r="AB47" i="6"/>
  <c r="AB71" i="6"/>
  <c r="AK63" i="6"/>
  <c r="AN47" i="6"/>
  <c r="V11" i="6"/>
  <c r="V10" i="6"/>
  <c r="AB11" i="6"/>
  <c r="Z71" i="6"/>
  <c r="AJ63" i="6"/>
  <c r="AL47" i="6"/>
  <c r="W19" i="6"/>
  <c r="AN11" i="6"/>
  <c r="U11" i="6"/>
  <c r="R10" i="6"/>
  <c r="AA11" i="6"/>
  <c r="AM11" i="6"/>
  <c r="T11" i="6"/>
  <c r="AN10" i="6"/>
  <c r="Q10" i="6"/>
  <c r="Z11" i="6"/>
  <c r="O23" i="6"/>
  <c r="AN23" i="6"/>
  <c r="P23" i="6"/>
  <c r="Q23" i="6"/>
  <c r="S23" i="6"/>
  <c r="AB23" i="6"/>
  <c r="X23" i="6"/>
  <c r="AK23" i="6"/>
  <c r="Y23" i="6"/>
  <c r="AL23" i="6"/>
  <c r="AC23" i="6"/>
  <c r="AM23" i="6"/>
  <c r="H23" i="6"/>
  <c r="AH23" i="6"/>
  <c r="I23" i="6"/>
  <c r="AI23" i="6"/>
  <c r="K23" i="6"/>
  <c r="J23" i="6"/>
  <c r="L23" i="6"/>
  <c r="M23" i="6"/>
  <c r="AJ23" i="6"/>
  <c r="N23" i="6"/>
  <c r="AH67" i="6"/>
  <c r="AK67" i="6"/>
  <c r="M67" i="6"/>
  <c r="Q67" i="6"/>
  <c r="T67" i="6"/>
  <c r="Z67" i="6"/>
  <c r="V67" i="6"/>
  <c r="AN67" i="6"/>
  <c r="W67" i="6"/>
  <c r="R47" i="6"/>
  <c r="V47" i="6"/>
  <c r="Z47" i="6"/>
  <c r="W47" i="6"/>
  <c r="AA47" i="6"/>
  <c r="X47" i="6"/>
  <c r="AF47" i="6"/>
  <c r="I47" i="6"/>
  <c r="AC47" i="6"/>
  <c r="AJ47" i="6"/>
  <c r="J47" i="6"/>
  <c r="AG47" i="6"/>
  <c r="AK47" i="6"/>
  <c r="L47" i="6"/>
  <c r="AI47" i="6"/>
  <c r="AM47" i="6"/>
  <c r="S47" i="6"/>
  <c r="T47" i="6"/>
  <c r="Y47" i="6"/>
  <c r="U47" i="6"/>
  <c r="AH47" i="6"/>
  <c r="I39" i="6"/>
  <c r="Y39" i="6"/>
  <c r="Z39" i="6"/>
  <c r="AB39" i="6"/>
  <c r="AF39" i="6"/>
  <c r="O39" i="6"/>
  <c r="P39" i="6"/>
  <c r="Q39" i="6"/>
  <c r="S39" i="6"/>
  <c r="T39" i="6"/>
  <c r="V39" i="6"/>
  <c r="H39" i="6"/>
  <c r="K39" i="6"/>
  <c r="AA39" i="6"/>
  <c r="J39" i="6"/>
  <c r="L39" i="6"/>
  <c r="M39" i="6"/>
  <c r="AJ39" i="6"/>
  <c r="N39" i="6"/>
  <c r="AK39" i="6"/>
  <c r="Q30" i="6"/>
  <c r="R30" i="6"/>
  <c r="S30" i="6"/>
  <c r="U30" i="6"/>
  <c r="Z30" i="6"/>
  <c r="Y30" i="6"/>
  <c r="AC30" i="6"/>
  <c r="AJ30" i="6"/>
  <c r="AG30" i="6"/>
  <c r="AK30" i="6"/>
  <c r="I30" i="6"/>
  <c r="AI30" i="6"/>
  <c r="AM30" i="6"/>
  <c r="J30" i="6"/>
  <c r="AN30" i="6"/>
  <c r="L30" i="6"/>
  <c r="T30" i="6"/>
  <c r="X30" i="6"/>
  <c r="V30" i="6"/>
  <c r="W30" i="6"/>
  <c r="AH30" i="6"/>
  <c r="AH22" i="6"/>
  <c r="K22" i="6"/>
  <c r="AG22" i="6"/>
  <c r="AK22" i="6"/>
  <c r="L22" i="6"/>
  <c r="AI22" i="6"/>
  <c r="AL22" i="6"/>
  <c r="M22" i="6"/>
  <c r="AM22" i="6"/>
  <c r="O22" i="6"/>
  <c r="T22" i="6"/>
  <c r="W22" i="6"/>
  <c r="Z22" i="6"/>
  <c r="X22" i="6"/>
  <c r="AA22" i="6"/>
  <c r="Y22" i="6"/>
  <c r="AF22" i="6"/>
  <c r="I22" i="6"/>
  <c r="H22" i="6"/>
  <c r="P22" i="6"/>
  <c r="J22" i="6"/>
  <c r="AJ22" i="6"/>
  <c r="N22" i="6"/>
  <c r="AN22" i="6"/>
  <c r="Q22" i="6"/>
  <c r="R22" i="6"/>
  <c r="S22" i="6"/>
  <c r="U22" i="6"/>
  <c r="H6" i="6"/>
  <c r="N24" i="6"/>
  <c r="H68" i="6"/>
  <c r="AH55" i="6"/>
  <c r="AB55" i="6"/>
  <c r="O55" i="6"/>
  <c r="P55" i="6"/>
  <c r="Q55" i="6"/>
  <c r="S55" i="6"/>
  <c r="T55" i="6"/>
  <c r="AA55" i="6"/>
  <c r="V55" i="6"/>
  <c r="AF55" i="6"/>
  <c r="J55" i="6"/>
  <c r="K55" i="6"/>
  <c r="M55" i="6"/>
  <c r="L55" i="6"/>
  <c r="N55" i="6"/>
  <c r="AJ55" i="6"/>
  <c r="Z55" i="6"/>
  <c r="R55" i="6"/>
  <c r="AK55" i="6"/>
  <c r="U55" i="6"/>
  <c r="AL55" i="6"/>
  <c r="AM55" i="6"/>
  <c r="U39" i="6"/>
  <c r="P30" i="6"/>
  <c r="V22" i="6"/>
  <c r="AB22" i="6"/>
  <c r="R39" i="6"/>
  <c r="O30" i="6"/>
  <c r="AF23" i="6"/>
  <c r="AF30" i="6"/>
  <c r="M40" i="6"/>
  <c r="N30" i="6"/>
  <c r="AA23" i="6"/>
  <c r="AB30" i="6"/>
  <c r="Z69" i="6"/>
  <c r="R69" i="6"/>
  <c r="J69" i="6"/>
  <c r="K69" i="6"/>
  <c r="U49" i="6"/>
  <c r="V33" i="6"/>
  <c r="Z33" i="6"/>
  <c r="O33" i="6"/>
  <c r="P33" i="6"/>
  <c r="S24" i="6"/>
  <c r="H24" i="6"/>
  <c r="AH24" i="6"/>
  <c r="M13" i="6"/>
  <c r="AI13" i="6"/>
  <c r="AL13" i="6"/>
  <c r="N13" i="6"/>
  <c r="AM13" i="6"/>
  <c r="O13" i="6"/>
  <c r="AN13" i="6"/>
  <c r="Z13" i="6"/>
  <c r="Q13" i="6"/>
  <c r="AA13" i="6"/>
  <c r="V13" i="6"/>
  <c r="AF13" i="6"/>
  <c r="U13" i="6"/>
  <c r="AJ13" i="6"/>
  <c r="W13" i="6"/>
  <c r="AK13" i="6"/>
  <c r="X13" i="6"/>
  <c r="AC13" i="6"/>
  <c r="AG13" i="6"/>
  <c r="H13" i="6"/>
  <c r="J13" i="6"/>
  <c r="I13" i="6"/>
  <c r="K13" i="6"/>
  <c r="AB13" i="6"/>
  <c r="L13" i="6"/>
  <c r="P13" i="6"/>
  <c r="R13" i="6"/>
  <c r="T13" i="6"/>
  <c r="I68" i="6"/>
  <c r="AJ68" i="6"/>
  <c r="AN55" i="6"/>
  <c r="W39" i="6"/>
  <c r="AC22" i="6"/>
  <c r="AB49" i="6"/>
  <c r="AK69" i="6"/>
  <c r="O40" i="6"/>
  <c r="N40" i="6"/>
  <c r="J40" i="6"/>
  <c r="M30" i="6"/>
  <c r="AG23" i="6"/>
  <c r="Z23" i="6"/>
  <c r="AA30" i="6"/>
  <c r="AI55" i="6"/>
  <c r="K30" i="6"/>
  <c r="W23" i="6"/>
  <c r="AG67" i="6"/>
  <c r="AG55" i="6"/>
  <c r="X49" i="6"/>
  <c r="Q47" i="6"/>
  <c r="H30" i="6"/>
  <c r="V23" i="6"/>
  <c r="AC55" i="6"/>
  <c r="P47" i="6"/>
  <c r="AN39" i="6"/>
  <c r="L33" i="6"/>
  <c r="U23" i="6"/>
  <c r="O68" i="6"/>
  <c r="AN68" i="6"/>
  <c r="P68" i="6"/>
  <c r="Q68" i="6"/>
  <c r="S68" i="6"/>
  <c r="T68" i="6"/>
  <c r="V68" i="6"/>
  <c r="Z68" i="6"/>
  <c r="U68" i="6"/>
  <c r="AK68" i="6"/>
  <c r="W68" i="6"/>
  <c r="AL68" i="6"/>
  <c r="X68" i="6"/>
  <c r="AF68" i="6"/>
  <c r="Y68" i="6"/>
  <c r="AA68" i="6"/>
  <c r="AB68" i="6"/>
  <c r="AM68" i="6"/>
  <c r="AC68" i="6"/>
  <c r="AG68" i="6"/>
  <c r="AH68" i="6"/>
  <c r="R68" i="6"/>
  <c r="Y55" i="6"/>
  <c r="O47" i="6"/>
  <c r="AM39" i="6"/>
  <c r="T23" i="6"/>
  <c r="AF40" i="6"/>
  <c r="L40" i="6"/>
  <c r="AH40" i="6"/>
  <c r="AK40" i="6"/>
  <c r="U40" i="6"/>
  <c r="V40" i="6"/>
  <c r="W40" i="6"/>
  <c r="H40" i="6"/>
  <c r="Y40" i="6"/>
  <c r="I40" i="6"/>
  <c r="AC40" i="6"/>
  <c r="AJ40" i="6"/>
  <c r="K40" i="6"/>
  <c r="AI40" i="6"/>
  <c r="AM40" i="6"/>
  <c r="AB40" i="6"/>
  <c r="P40" i="6"/>
  <c r="AL40" i="6"/>
  <c r="AN40" i="6"/>
  <c r="S40" i="6"/>
  <c r="Q40" i="6"/>
  <c r="R40" i="6"/>
  <c r="T40" i="6"/>
  <c r="X40" i="6"/>
  <c r="AG40" i="6"/>
  <c r="N68" i="6"/>
  <c r="X67" i="6"/>
  <c r="X55" i="6"/>
  <c r="N47" i="6"/>
  <c r="AL39" i="6"/>
  <c r="AL30" i="6"/>
  <c r="R23" i="6"/>
  <c r="AA40" i="6"/>
  <c r="P69" i="6"/>
  <c r="M68" i="6"/>
  <c r="J67" i="6"/>
  <c r="W55" i="6"/>
  <c r="M47" i="6"/>
  <c r="AH13" i="6"/>
  <c r="Z40" i="6"/>
  <c r="U71" i="6"/>
  <c r="AF71" i="6"/>
  <c r="H71" i="6"/>
  <c r="X71" i="6"/>
  <c r="I71" i="6"/>
  <c r="J71" i="6"/>
  <c r="AC71" i="6"/>
  <c r="Y71" i="6"/>
  <c r="L71" i="6"/>
  <c r="AH71" i="6"/>
  <c r="AK71" i="6"/>
  <c r="M71" i="6"/>
  <c r="AI71" i="6"/>
  <c r="AL71" i="6"/>
  <c r="O71" i="6"/>
  <c r="AN71" i="6"/>
  <c r="AB63" i="6"/>
  <c r="AF63" i="6"/>
  <c r="S63" i="6"/>
  <c r="T63" i="6"/>
  <c r="U63" i="6"/>
  <c r="W63" i="6"/>
  <c r="H63" i="6"/>
  <c r="X63" i="6"/>
  <c r="Z63" i="6"/>
  <c r="J63" i="6"/>
  <c r="AC63" i="6"/>
  <c r="AA63" i="6"/>
  <c r="AJ71" i="6"/>
  <c r="R71" i="6"/>
  <c r="AH63" i="6"/>
  <c r="Q71" i="6"/>
  <c r="AG63" i="6"/>
  <c r="P71" i="6"/>
  <c r="Y63" i="6"/>
  <c r="Z58" i="6"/>
  <c r="AB58" i="6"/>
  <c r="AF58" i="6"/>
  <c r="Z53" i="6"/>
  <c r="AA53" i="6"/>
  <c r="AF53" i="6"/>
  <c r="AH20" i="6"/>
  <c r="S20" i="6"/>
  <c r="T20" i="6"/>
  <c r="U20" i="6"/>
  <c r="W20" i="6"/>
  <c r="AF20" i="6"/>
  <c r="L20" i="6"/>
  <c r="AI20" i="6"/>
  <c r="AL20" i="6"/>
  <c r="P9" i="6"/>
  <c r="Q9" i="6"/>
  <c r="R9" i="6"/>
  <c r="T9" i="6"/>
  <c r="U9" i="6"/>
  <c r="AA9" i="6"/>
  <c r="Y9" i="6"/>
  <c r="AJ9" i="6"/>
  <c r="O9" i="6"/>
  <c r="AA58" i="6"/>
  <c r="M9" i="6"/>
  <c r="L9" i="6"/>
  <c r="AF9" i="6"/>
  <c r="S43" i="6"/>
  <c r="AN35" i="6"/>
  <c r="AG26" i="6"/>
  <c r="O20" i="6"/>
  <c r="K9" i="6"/>
  <c r="AB9" i="6"/>
  <c r="W10" i="6"/>
  <c r="AA10" i="6"/>
  <c r="AA61" i="6"/>
  <c r="U10" i="6"/>
  <c r="T10" i="6"/>
  <c r="BS129" i="3"/>
  <c r="X57" i="4"/>
  <c r="X59" i="4"/>
  <c r="G8" i="6"/>
  <c r="AY8" i="6" s="1"/>
  <c r="BB39" i="9"/>
  <c r="BM264" i="3"/>
  <c r="BM259" i="3"/>
  <c r="BM253" i="3"/>
  <c r="BM254" i="3"/>
  <c r="BM241" i="3"/>
  <c r="BM242" i="3"/>
  <c r="BM230" i="3"/>
  <c r="BM225" i="3"/>
  <c r="BM220" i="3"/>
  <c r="CA263" i="9"/>
  <c r="C126" i="9"/>
  <c r="CA258" i="9"/>
  <c r="C122" i="9"/>
  <c r="CA253" i="9"/>
  <c r="C107" i="9"/>
  <c r="CA107" i="9" s="1"/>
  <c r="CA252" i="9"/>
  <c r="C106" i="9"/>
  <c r="CA241" i="9"/>
  <c r="C103" i="9"/>
  <c r="CA103" i="9" s="1"/>
  <c r="CA240" i="9"/>
  <c r="C102" i="9"/>
  <c r="CA229" i="9"/>
  <c r="C98" i="9"/>
  <c r="CA224" i="9"/>
  <c r="C94" i="9"/>
  <c r="CA219" i="9"/>
  <c r="C87" i="9"/>
  <c r="CA87" i="9" s="1"/>
  <c r="C82" i="9"/>
  <c r="CA79" i="9"/>
  <c r="C66" i="9"/>
  <c r="CA63" i="9"/>
  <c r="BZ181" i="1"/>
  <c r="C165" i="1"/>
  <c r="C160" i="1"/>
  <c r="C162" i="1" s="1"/>
  <c r="C169" i="1" s="1"/>
  <c r="E165" i="1"/>
  <c r="E160" i="1"/>
  <c r="E162" i="1" s="1"/>
  <c r="E169" i="1" s="1"/>
  <c r="F165" i="1"/>
  <c r="F160" i="1"/>
  <c r="F162" i="1" s="1"/>
  <c r="F169" i="1" s="1"/>
  <c r="G165" i="1"/>
  <c r="G160" i="1"/>
  <c r="G162" i="1" s="1"/>
  <c r="G169" i="1" s="1"/>
  <c r="H165" i="1"/>
  <c r="H160" i="1"/>
  <c r="H162" i="1" s="1"/>
  <c r="H169" i="1" s="1"/>
  <c r="I165" i="1"/>
  <c r="I160" i="1"/>
  <c r="I162" i="1" s="1"/>
  <c r="I169" i="1" s="1"/>
  <c r="J165" i="1"/>
  <c r="J160" i="1"/>
  <c r="J162" i="1" s="1"/>
  <c r="J169" i="1" s="1"/>
  <c r="K165" i="1"/>
  <c r="K160" i="1"/>
  <c r="K162" i="1" s="1"/>
  <c r="K169" i="1" s="1"/>
  <c r="L165" i="1"/>
  <c r="L160" i="1"/>
  <c r="L162" i="1" s="1"/>
  <c r="L169" i="1" s="1"/>
  <c r="M165" i="1"/>
  <c r="M160" i="1"/>
  <c r="M162" i="1" s="1"/>
  <c r="M169" i="1" s="1"/>
  <c r="N165" i="1"/>
  <c r="N160" i="1"/>
  <c r="N162" i="1" s="1"/>
  <c r="N169" i="1" s="1"/>
  <c r="O165" i="1"/>
  <c r="O160" i="1"/>
  <c r="O162" i="1" s="1"/>
  <c r="O169" i="1" s="1"/>
  <c r="P165" i="1"/>
  <c r="P160" i="1"/>
  <c r="P162" i="1" s="1"/>
  <c r="P169" i="1" s="1"/>
  <c r="Q165" i="1"/>
  <c r="Q160" i="1"/>
  <c r="Q162" i="1" s="1"/>
  <c r="Q169" i="1" s="1"/>
  <c r="R165" i="1"/>
  <c r="R160" i="1"/>
  <c r="R162" i="1" s="1"/>
  <c r="R169" i="1" s="1"/>
  <c r="S165" i="1"/>
  <c r="S160" i="1"/>
  <c r="S162" i="1" s="1"/>
  <c r="S169" i="1" s="1"/>
  <c r="T165" i="1"/>
  <c r="T160" i="1"/>
  <c r="T162" i="1" s="1"/>
  <c r="T169" i="1" s="1"/>
  <c r="U165" i="1"/>
  <c r="U160" i="1"/>
  <c r="U162" i="1" s="1"/>
  <c r="U169" i="1" s="1"/>
  <c r="V165" i="1"/>
  <c r="V160" i="1"/>
  <c r="V162" i="1" s="1"/>
  <c r="V169" i="1" s="1"/>
  <c r="W165" i="1"/>
  <c r="W160" i="1"/>
  <c r="W162" i="1" s="1"/>
  <c r="W169" i="1" s="1"/>
  <c r="X165" i="1"/>
  <c r="X160" i="1"/>
  <c r="X162" i="1" s="1"/>
  <c r="X169" i="1" s="1"/>
  <c r="Y165" i="1"/>
  <c r="Y160" i="1"/>
  <c r="Y162" i="1" s="1"/>
  <c r="Y169" i="1" s="1"/>
  <c r="Z165" i="1"/>
  <c r="Z160" i="1"/>
  <c r="Z162" i="1" s="1"/>
  <c r="Z169" i="1" s="1"/>
  <c r="AA165" i="1"/>
  <c r="AA160" i="1"/>
  <c r="AA162" i="1" s="1"/>
  <c r="AA169" i="1" s="1"/>
  <c r="AB165" i="1"/>
  <c r="AB160" i="1"/>
  <c r="AB162" i="1" s="1"/>
  <c r="AB169" i="1" s="1"/>
  <c r="AC165" i="1"/>
  <c r="AC160" i="1"/>
  <c r="AC162" i="1" s="1"/>
  <c r="AC169" i="1" s="1"/>
  <c r="AD165" i="1"/>
  <c r="AD160" i="1"/>
  <c r="AD162" i="1" s="1"/>
  <c r="AD169" i="1" s="1"/>
  <c r="AE165" i="1"/>
  <c r="AE160" i="1"/>
  <c r="AE162" i="1" s="1"/>
  <c r="AE169" i="1" s="1"/>
  <c r="AF165" i="1"/>
  <c r="AF160" i="1"/>
  <c r="AF162" i="1" s="1"/>
  <c r="AF169" i="1" s="1"/>
  <c r="AG165" i="1"/>
  <c r="AG160" i="1"/>
  <c r="AG162" i="1" s="1"/>
  <c r="AG169" i="1" s="1"/>
  <c r="AH165" i="1"/>
  <c r="AH160" i="1"/>
  <c r="AH162" i="1" s="1"/>
  <c r="AH169" i="1" s="1"/>
  <c r="AI165" i="1"/>
  <c r="AI160" i="1"/>
  <c r="AI162" i="1" s="1"/>
  <c r="AI169" i="1" s="1"/>
  <c r="AJ165" i="1"/>
  <c r="AJ160" i="1"/>
  <c r="AJ162" i="1" s="1"/>
  <c r="AJ169" i="1" s="1"/>
  <c r="AK165" i="1"/>
  <c r="AK160" i="1"/>
  <c r="AK162" i="1" s="1"/>
  <c r="AK169" i="1" s="1"/>
  <c r="AL165" i="1"/>
  <c r="AL160" i="1"/>
  <c r="AL162" i="1" s="1"/>
  <c r="AL169" i="1" s="1"/>
  <c r="AM165" i="1"/>
  <c r="AM160" i="1"/>
  <c r="AM162" i="1" s="1"/>
  <c r="AM169" i="1" s="1"/>
  <c r="AN165" i="1"/>
  <c r="AN160" i="1"/>
  <c r="AN162" i="1" s="1"/>
  <c r="AN169" i="1" s="1"/>
  <c r="AO165" i="1"/>
  <c r="AO160" i="1"/>
  <c r="AO162" i="1" s="1"/>
  <c r="AO169" i="1" s="1"/>
  <c r="AP165" i="1"/>
  <c r="AP160" i="1"/>
  <c r="AP162" i="1" s="1"/>
  <c r="AP169" i="1" s="1"/>
  <c r="AQ165" i="1"/>
  <c r="AQ160" i="1"/>
  <c r="AQ162" i="1" s="1"/>
  <c r="AQ169" i="1" s="1"/>
  <c r="AR165" i="1"/>
  <c r="AR160" i="1"/>
  <c r="AR162" i="1" s="1"/>
  <c r="AR169" i="1" s="1"/>
  <c r="AS165" i="1"/>
  <c r="AS160" i="1"/>
  <c r="AS162" i="1" s="1"/>
  <c r="AS169" i="1" s="1"/>
  <c r="AT165" i="1"/>
  <c r="AT160" i="1"/>
  <c r="AT162" i="1" s="1"/>
  <c r="AT169" i="1" s="1"/>
  <c r="AU165" i="1"/>
  <c r="AU160" i="1"/>
  <c r="AU162" i="1" s="1"/>
  <c r="AU169" i="1" s="1"/>
  <c r="AV165" i="1"/>
  <c r="AV160" i="1"/>
  <c r="AV162" i="1" s="1"/>
  <c r="AV169" i="1" s="1"/>
  <c r="AW165" i="1"/>
  <c r="AW160" i="1"/>
  <c r="AW162" i="1" s="1"/>
  <c r="AW169" i="1" s="1"/>
  <c r="AX165" i="1"/>
  <c r="AX160" i="1"/>
  <c r="AX162" i="1" s="1"/>
  <c r="AX169" i="1" s="1"/>
  <c r="AY165" i="1"/>
  <c r="AY160" i="1"/>
  <c r="AY162" i="1" s="1"/>
  <c r="AY169" i="1" s="1"/>
  <c r="AZ165" i="1"/>
  <c r="AZ160" i="1"/>
  <c r="AZ162" i="1" s="1"/>
  <c r="AZ169" i="1" s="1"/>
  <c r="BA165" i="1"/>
  <c r="BA160" i="1"/>
  <c r="BA162" i="1" s="1"/>
  <c r="BA169" i="1" s="1"/>
  <c r="BB165" i="1"/>
  <c r="BB160" i="1"/>
  <c r="BB162" i="1" s="1"/>
  <c r="BB169" i="1" s="1"/>
  <c r="BC165" i="1"/>
  <c r="BC160" i="1"/>
  <c r="BC162" i="1" s="1"/>
  <c r="BC169" i="1" s="1"/>
  <c r="BD165" i="1"/>
  <c r="BD160" i="1"/>
  <c r="BD162" i="1" s="1"/>
  <c r="BD169" i="1" s="1"/>
  <c r="BE165" i="1"/>
  <c r="BE160" i="1"/>
  <c r="BE162" i="1" s="1"/>
  <c r="BE169" i="1" s="1"/>
  <c r="BF165" i="1"/>
  <c r="BF160" i="1"/>
  <c r="BF162" i="1" s="1"/>
  <c r="BF169" i="1" s="1"/>
  <c r="BG165" i="1"/>
  <c r="BG160" i="1"/>
  <c r="BG162" i="1" s="1"/>
  <c r="BG169" i="1" s="1"/>
  <c r="BH165" i="1"/>
  <c r="BH160" i="1"/>
  <c r="BH162" i="1" s="1"/>
  <c r="BH169" i="1" s="1"/>
  <c r="BI165" i="1"/>
  <c r="BI160" i="1"/>
  <c r="BI162" i="1" s="1"/>
  <c r="BI169" i="1" s="1"/>
  <c r="BJ165" i="1"/>
  <c r="BJ160" i="1"/>
  <c r="BJ162" i="1" s="1"/>
  <c r="BJ169" i="1" s="1"/>
  <c r="BK165" i="1"/>
  <c r="BK160" i="1"/>
  <c r="BK162" i="1" s="1"/>
  <c r="BK169" i="1" s="1"/>
  <c r="BL165" i="1"/>
  <c r="BL160" i="1"/>
  <c r="BL162" i="1" s="1"/>
  <c r="BL169" i="1" s="1"/>
  <c r="BM165" i="1"/>
  <c r="BM160" i="1"/>
  <c r="BM162" i="1" s="1"/>
  <c r="BM169" i="1" s="1"/>
  <c r="BN165" i="1"/>
  <c r="BN160" i="1"/>
  <c r="BN162" i="1" s="1"/>
  <c r="BN169" i="1" s="1"/>
  <c r="BO165" i="1"/>
  <c r="BO160" i="1"/>
  <c r="BO162" i="1" s="1"/>
  <c r="BO169" i="1" s="1"/>
  <c r="BP165" i="1"/>
  <c r="BP160" i="1"/>
  <c r="BP162" i="1" s="1"/>
  <c r="BP169" i="1" s="1"/>
  <c r="BQ165" i="1"/>
  <c r="BQ160" i="1"/>
  <c r="BQ162" i="1" s="1"/>
  <c r="BQ169" i="1" s="1"/>
  <c r="BR165" i="1"/>
  <c r="BR160" i="1"/>
  <c r="BR162" i="1" s="1"/>
  <c r="BR169" i="1" s="1"/>
  <c r="BS165" i="1"/>
  <c r="BS160" i="1"/>
  <c r="BS162" i="1" s="1"/>
  <c r="BS169" i="1" s="1"/>
  <c r="BT165" i="1"/>
  <c r="BT160" i="1"/>
  <c r="BT162" i="1" s="1"/>
  <c r="BT169" i="1" s="1"/>
  <c r="BU165" i="1"/>
  <c r="BU160" i="1"/>
  <c r="BU162" i="1" s="1"/>
  <c r="BU169" i="1" s="1"/>
  <c r="BV165" i="1"/>
  <c r="BV160" i="1"/>
  <c r="BV162" i="1" s="1"/>
  <c r="BV169" i="1" s="1"/>
  <c r="BW165" i="1"/>
  <c r="BW160" i="1"/>
  <c r="BW162" i="1" s="1"/>
  <c r="BW169" i="1" s="1"/>
  <c r="BX165" i="1"/>
  <c r="BX160" i="1"/>
  <c r="BX162" i="1" s="1"/>
  <c r="BX169" i="1" s="1"/>
  <c r="BY165" i="1"/>
  <c r="BY160" i="1"/>
  <c r="BY162" i="1" s="1"/>
  <c r="BY169" i="1" s="1"/>
  <c r="D165" i="1"/>
  <c r="D160" i="1"/>
  <c r="D162" i="1" s="1"/>
  <c r="D169" i="1" s="1"/>
  <c r="B165" i="1"/>
  <c r="BZ158" i="1"/>
  <c r="B160" i="1"/>
  <c r="BZ160" i="1" s="1"/>
  <c r="AZ9" i="6" l="1"/>
  <c r="AZ63" i="6"/>
  <c r="AZ40" i="6"/>
  <c r="AZ30" i="6"/>
  <c r="AZ13" i="6"/>
  <c r="AZ68" i="6"/>
  <c r="AZ22" i="6"/>
  <c r="AZ47" i="6"/>
  <c r="AZ23" i="6"/>
  <c r="AZ61" i="6"/>
  <c r="AZ58" i="6"/>
  <c r="AZ10" i="6"/>
  <c r="I49" i="6"/>
  <c r="AY49" i="6"/>
  <c r="Y27" i="6"/>
  <c r="AY27" i="6"/>
  <c r="U67" i="6"/>
  <c r="AY67" i="6"/>
  <c r="H37" i="6"/>
  <c r="AY37" i="6"/>
  <c r="J45" i="6"/>
  <c r="AY45" i="6"/>
  <c r="M60" i="6"/>
  <c r="AY60" i="6"/>
  <c r="AF38" i="6"/>
  <c r="AY38" i="6"/>
  <c r="AZ25" i="6"/>
  <c r="AZ48" i="6"/>
  <c r="AZ55" i="6"/>
  <c r="AZ11" i="6"/>
  <c r="AZ39" i="6"/>
  <c r="AZ71" i="6"/>
  <c r="AZ6" i="6"/>
  <c r="M45" i="6"/>
  <c r="AN45" i="6"/>
  <c r="H45" i="6"/>
  <c r="AH45" i="6"/>
  <c r="R45" i="6"/>
  <c r="L45" i="6"/>
  <c r="AA38" i="6"/>
  <c r="AK37" i="6"/>
  <c r="AT69" i="6"/>
  <c r="AR69" i="6"/>
  <c r="AO69" i="6"/>
  <c r="AX69" i="6"/>
  <c r="AU69" i="6"/>
  <c r="AV69" i="6"/>
  <c r="AW69" i="6"/>
  <c r="AQ69" i="6"/>
  <c r="AS69" i="6"/>
  <c r="AP69" i="6"/>
  <c r="X69" i="6"/>
  <c r="AC69" i="6"/>
  <c r="J49" i="6"/>
  <c r="H69" i="6"/>
  <c r="L69" i="6"/>
  <c r="AV15" i="6"/>
  <c r="AO15" i="6"/>
  <c r="AW15" i="6"/>
  <c r="AP15" i="6"/>
  <c r="AX15" i="6"/>
  <c r="AQ15" i="6"/>
  <c r="AR15" i="6"/>
  <c r="AS15" i="6"/>
  <c r="AT15" i="6"/>
  <c r="AU15" i="6"/>
  <c r="AS24" i="6"/>
  <c r="AT24" i="6"/>
  <c r="AU24" i="6"/>
  <c r="AO24" i="6"/>
  <c r="AW24" i="6"/>
  <c r="AP24" i="6"/>
  <c r="AR24" i="6"/>
  <c r="AV24" i="6"/>
  <c r="AX24" i="6"/>
  <c r="AQ24" i="6"/>
  <c r="AK49" i="6"/>
  <c r="AI69" i="6"/>
  <c r="AV31" i="6"/>
  <c r="AP31" i="6"/>
  <c r="AO31" i="6"/>
  <c r="AW31" i="6"/>
  <c r="AQ31" i="6"/>
  <c r="AR31" i="6"/>
  <c r="AX31" i="6"/>
  <c r="AT31" i="6"/>
  <c r="AU31" i="6"/>
  <c r="AS31" i="6"/>
  <c r="AT19" i="6"/>
  <c r="AR19" i="6"/>
  <c r="AO19" i="6"/>
  <c r="AX19" i="6"/>
  <c r="AU19" i="6"/>
  <c r="AV19" i="6"/>
  <c r="AW19" i="6"/>
  <c r="AP19" i="6"/>
  <c r="AS19" i="6"/>
  <c r="AQ19" i="6"/>
  <c r="AS21" i="6"/>
  <c r="AT21" i="6"/>
  <c r="AU21" i="6"/>
  <c r="AP21" i="6"/>
  <c r="AQ21" i="6"/>
  <c r="AR21" i="6"/>
  <c r="AW21" i="6"/>
  <c r="AV21" i="6"/>
  <c r="AO21" i="6"/>
  <c r="AX21" i="6"/>
  <c r="AP41" i="6"/>
  <c r="AQ41" i="6"/>
  <c r="AR41" i="6"/>
  <c r="AS41" i="6"/>
  <c r="AT41" i="6"/>
  <c r="AU41" i="6"/>
  <c r="AV41" i="6"/>
  <c r="AW41" i="6"/>
  <c r="AO41" i="6"/>
  <c r="AX41" i="6"/>
  <c r="AU49" i="6"/>
  <c r="AQ49" i="6"/>
  <c r="AV49" i="6"/>
  <c r="AO49" i="6"/>
  <c r="AP49" i="6"/>
  <c r="AW49" i="6"/>
  <c r="AX49" i="6"/>
  <c r="AS49" i="6"/>
  <c r="AT49" i="6"/>
  <c r="AR49" i="6"/>
  <c r="AV64" i="6"/>
  <c r="AQ64" i="6"/>
  <c r="AS64" i="6"/>
  <c r="AR64" i="6"/>
  <c r="AO64" i="6"/>
  <c r="AK64" i="6"/>
  <c r="AW64" i="6"/>
  <c r="AX64" i="6"/>
  <c r="AT64" i="6"/>
  <c r="AU64" i="6"/>
  <c r="AP64" i="6"/>
  <c r="AN69" i="6"/>
  <c r="P49" i="6"/>
  <c r="AB41" i="6"/>
  <c r="H27" i="6"/>
  <c r="AT36" i="6"/>
  <c r="AP36" i="6"/>
  <c r="AQ36" i="6"/>
  <c r="AU36" i="6"/>
  <c r="AR36" i="6"/>
  <c r="AV36" i="6"/>
  <c r="AO36" i="6"/>
  <c r="AW36" i="6"/>
  <c r="AX36" i="6"/>
  <c r="AS36" i="6"/>
  <c r="AO45" i="6"/>
  <c r="AW45" i="6"/>
  <c r="AX45" i="6"/>
  <c r="AS45" i="6"/>
  <c r="AU45" i="6"/>
  <c r="AP45" i="6"/>
  <c r="AQ45" i="6"/>
  <c r="AR45" i="6"/>
  <c r="AT45" i="6"/>
  <c r="AV45" i="6"/>
  <c r="O49" i="6"/>
  <c r="AB69" i="6"/>
  <c r="AJ67" i="6"/>
  <c r="V37" i="6"/>
  <c r="W45" i="6"/>
  <c r="AX43" i="6"/>
  <c r="AR43" i="6"/>
  <c r="AS43" i="6"/>
  <c r="AP43" i="6"/>
  <c r="AQ43" i="6"/>
  <c r="AT43" i="6"/>
  <c r="AV43" i="6"/>
  <c r="AO43" i="6"/>
  <c r="AU43" i="6"/>
  <c r="AW43" i="6"/>
  <c r="AS53" i="6"/>
  <c r="AR53" i="6"/>
  <c r="AT53" i="6"/>
  <c r="AU53" i="6"/>
  <c r="AP53" i="6"/>
  <c r="AQ53" i="6"/>
  <c r="AW53" i="6"/>
  <c r="AV53" i="6"/>
  <c r="AO53" i="6"/>
  <c r="AX53" i="6"/>
  <c r="AN49" i="6"/>
  <c r="Y69" i="6"/>
  <c r="T45" i="6"/>
  <c r="Q49" i="6"/>
  <c r="S19" i="6"/>
  <c r="AX26" i="6"/>
  <c r="AP26" i="6"/>
  <c r="AQ26" i="6"/>
  <c r="AS26" i="6"/>
  <c r="AR26" i="6"/>
  <c r="AU26" i="6"/>
  <c r="AT26" i="6"/>
  <c r="AV26" i="6"/>
  <c r="AO26" i="6"/>
  <c r="AW26" i="6"/>
  <c r="AT51" i="6"/>
  <c r="AR51" i="6"/>
  <c r="AX51" i="6"/>
  <c r="AU51" i="6"/>
  <c r="AV51" i="6"/>
  <c r="AO51" i="6"/>
  <c r="AW51" i="6"/>
  <c r="AP51" i="6"/>
  <c r="AQ51" i="6"/>
  <c r="AS51" i="6"/>
  <c r="AV65" i="6"/>
  <c r="AP65" i="6"/>
  <c r="AO65" i="6"/>
  <c r="AW65" i="6"/>
  <c r="AQ65" i="6"/>
  <c r="AR65" i="6"/>
  <c r="AX65" i="6"/>
  <c r="AT65" i="6"/>
  <c r="AS65" i="6"/>
  <c r="AU65" i="6"/>
  <c r="AV32" i="6"/>
  <c r="AO32" i="6"/>
  <c r="AW32" i="6"/>
  <c r="AP32" i="6"/>
  <c r="AX32" i="6"/>
  <c r="AQ32" i="6"/>
  <c r="AR32" i="6"/>
  <c r="AS32" i="6"/>
  <c r="AT32" i="6"/>
  <c r="AU32" i="6"/>
  <c r="AS57" i="6"/>
  <c r="AT57" i="6"/>
  <c r="AU57" i="6"/>
  <c r="AO57" i="6"/>
  <c r="AW57" i="6"/>
  <c r="AP57" i="6"/>
  <c r="AR57" i="6"/>
  <c r="AX57" i="6"/>
  <c r="AV57" i="6"/>
  <c r="AQ57" i="6"/>
  <c r="R49" i="6"/>
  <c r="AL69" i="6"/>
  <c r="W49" i="6"/>
  <c r="M69" i="6"/>
  <c r="M49" i="6"/>
  <c r="I69" i="6"/>
  <c r="AB45" i="6"/>
  <c r="Y45" i="6"/>
  <c r="AU34" i="6"/>
  <c r="AV34" i="6"/>
  <c r="AO34" i="6"/>
  <c r="AW34" i="6"/>
  <c r="AX34" i="6"/>
  <c r="AP34" i="6"/>
  <c r="AS34" i="6"/>
  <c r="AQ34" i="6"/>
  <c r="AR34" i="6"/>
  <c r="AT34" i="6"/>
  <c r="AS72" i="6"/>
  <c r="AT72" i="6"/>
  <c r="AU72" i="6"/>
  <c r="AP72" i="6"/>
  <c r="AV72" i="6"/>
  <c r="AQ72" i="6"/>
  <c r="AX72" i="6"/>
  <c r="AW72" i="6"/>
  <c r="AR72" i="6"/>
  <c r="AO72" i="6"/>
  <c r="AT52" i="6"/>
  <c r="AP52" i="6"/>
  <c r="AQ52" i="6"/>
  <c r="AU52" i="6"/>
  <c r="AR52" i="6"/>
  <c r="AV52" i="6"/>
  <c r="AO52" i="6"/>
  <c r="AW52" i="6"/>
  <c r="AX52" i="6"/>
  <c r="AS52" i="6"/>
  <c r="AH69" i="6"/>
  <c r="AS37" i="6"/>
  <c r="AW37" i="6"/>
  <c r="AT37" i="6"/>
  <c r="AU37" i="6"/>
  <c r="AP37" i="6"/>
  <c r="AQ37" i="6"/>
  <c r="AR37" i="6"/>
  <c r="AO37" i="6"/>
  <c r="AV37" i="6"/>
  <c r="AX37" i="6"/>
  <c r="AF41" i="6"/>
  <c r="P45" i="6"/>
  <c r="AG45" i="6"/>
  <c r="AX42" i="6"/>
  <c r="AU42" i="6"/>
  <c r="AP42" i="6"/>
  <c r="AQ42" i="6"/>
  <c r="AS42" i="6"/>
  <c r="AR42" i="6"/>
  <c r="AT42" i="6"/>
  <c r="AO42" i="6"/>
  <c r="AV42" i="6"/>
  <c r="AW42" i="6"/>
  <c r="AU67" i="6"/>
  <c r="AV67" i="6"/>
  <c r="AO67" i="6"/>
  <c r="AW67" i="6"/>
  <c r="AX67" i="6"/>
  <c r="AP67" i="6"/>
  <c r="AS67" i="6"/>
  <c r="AQ67" i="6"/>
  <c r="AT67" i="6"/>
  <c r="AR67" i="6"/>
  <c r="Y49" i="6"/>
  <c r="AM69" i="6"/>
  <c r="AN24" i="6"/>
  <c r="AM49" i="6"/>
  <c r="W69" i="6"/>
  <c r="P67" i="6"/>
  <c r="O45" i="6"/>
  <c r="AL65" i="6"/>
  <c r="S45" i="6"/>
  <c r="O53" i="6"/>
  <c r="AU50" i="6"/>
  <c r="AV50" i="6"/>
  <c r="AO50" i="6"/>
  <c r="AW50" i="6"/>
  <c r="AX50" i="6"/>
  <c r="AP50" i="6"/>
  <c r="AR50" i="6"/>
  <c r="AQ50" i="6"/>
  <c r="AS50" i="6"/>
  <c r="AT50" i="6"/>
  <c r="AU16" i="6"/>
  <c r="AQ16" i="6"/>
  <c r="AV16" i="6"/>
  <c r="AO16" i="6"/>
  <c r="AW16" i="6"/>
  <c r="AX16" i="6"/>
  <c r="AP16" i="6"/>
  <c r="AS16" i="6"/>
  <c r="AT16" i="6"/>
  <c r="AR16" i="6"/>
  <c r="AS8" i="6"/>
  <c r="AX8" i="6"/>
  <c r="AP8" i="6"/>
  <c r="AQ8" i="6"/>
  <c r="AT8" i="6"/>
  <c r="AR8" i="6"/>
  <c r="AU8" i="6"/>
  <c r="AV8" i="6"/>
  <c r="AW8" i="6"/>
  <c r="AO8" i="6"/>
  <c r="AI49" i="6"/>
  <c r="Q69" i="6"/>
  <c r="Y67" i="6"/>
  <c r="AI31" i="6"/>
  <c r="N49" i="6"/>
  <c r="AG24" i="6"/>
  <c r="L49" i="6"/>
  <c r="AA69" i="6"/>
  <c r="AM67" i="6"/>
  <c r="N45" i="6"/>
  <c r="S21" i="6"/>
  <c r="M53" i="6"/>
  <c r="Z27" i="6"/>
  <c r="AW62" i="6"/>
  <c r="AX62" i="6"/>
  <c r="AT62" i="6"/>
  <c r="AS62" i="6"/>
  <c r="AU62" i="6"/>
  <c r="AR62" i="6"/>
  <c r="AO62" i="6"/>
  <c r="AQ62" i="6"/>
  <c r="AP62" i="6"/>
  <c r="AV62" i="6"/>
  <c r="AV20" i="6"/>
  <c r="AT20" i="6"/>
  <c r="AP20" i="6"/>
  <c r="AQ20" i="6"/>
  <c r="AU20" i="6"/>
  <c r="AR20" i="6"/>
  <c r="AO20" i="6"/>
  <c r="AW20" i="6"/>
  <c r="AS20" i="6"/>
  <c r="AX20" i="6"/>
  <c r="AR38" i="6"/>
  <c r="AS38" i="6"/>
  <c r="AT38" i="6"/>
  <c r="AU38" i="6"/>
  <c r="AP38" i="6"/>
  <c r="AV38" i="6"/>
  <c r="AQ38" i="6"/>
  <c r="AX38" i="6"/>
  <c r="AO38" i="6"/>
  <c r="AW38" i="6"/>
  <c r="N69" i="6"/>
  <c r="AL49" i="6"/>
  <c r="V69" i="6"/>
  <c r="N67" i="6"/>
  <c r="I27" i="6"/>
  <c r="AJ45" i="6"/>
  <c r="P21" i="6"/>
  <c r="AT70" i="6"/>
  <c r="AP70" i="6"/>
  <c r="AQ70" i="6"/>
  <c r="AU70" i="6"/>
  <c r="AR70" i="6"/>
  <c r="AV70" i="6"/>
  <c r="AO70" i="6"/>
  <c r="AW70" i="6"/>
  <c r="AS70" i="6"/>
  <c r="AX70" i="6"/>
  <c r="AW28" i="6"/>
  <c r="AP28" i="6"/>
  <c r="AX28" i="6"/>
  <c r="AT28" i="6"/>
  <c r="AS28" i="6"/>
  <c r="AU28" i="6"/>
  <c r="AR28" i="6"/>
  <c r="AV28" i="6"/>
  <c r="AQ28" i="6"/>
  <c r="AO28" i="6"/>
  <c r="AF69" i="6"/>
  <c r="AA45" i="6"/>
  <c r="AC67" i="6"/>
  <c r="Z45" i="6"/>
  <c r="T69" i="6"/>
  <c r="AL67" i="6"/>
  <c r="K45" i="6"/>
  <c r="N21" i="6"/>
  <c r="AU17" i="6"/>
  <c r="AV17" i="6"/>
  <c r="AO17" i="6"/>
  <c r="AW17" i="6"/>
  <c r="AX17" i="6"/>
  <c r="AP17" i="6"/>
  <c r="AR17" i="6"/>
  <c r="AQ17" i="6"/>
  <c r="AS17" i="6"/>
  <c r="AT17" i="6"/>
  <c r="AT35" i="6"/>
  <c r="AR35" i="6"/>
  <c r="AU35" i="6"/>
  <c r="AV35" i="6"/>
  <c r="AO35" i="6"/>
  <c r="AX35" i="6"/>
  <c r="AW35" i="6"/>
  <c r="AQ35" i="6"/>
  <c r="AP35" i="6"/>
  <c r="AS35" i="6"/>
  <c r="AV46" i="6"/>
  <c r="AQ46" i="6"/>
  <c r="AS46" i="6"/>
  <c r="AR46" i="6"/>
  <c r="AO46" i="6"/>
  <c r="AW46" i="6"/>
  <c r="AX46" i="6"/>
  <c r="AT46" i="6"/>
  <c r="AU46" i="6"/>
  <c r="AP46" i="6"/>
  <c r="AV66" i="6"/>
  <c r="AO66" i="6"/>
  <c r="AW66" i="6"/>
  <c r="AP66" i="6"/>
  <c r="AX66" i="6"/>
  <c r="AQ66" i="6"/>
  <c r="AR66" i="6"/>
  <c r="AS66" i="6"/>
  <c r="AT66" i="6"/>
  <c r="AU66" i="6"/>
  <c r="AA49" i="6"/>
  <c r="AX59" i="6"/>
  <c r="AP59" i="6"/>
  <c r="AQ59" i="6"/>
  <c r="AS59" i="6"/>
  <c r="AR59" i="6"/>
  <c r="AU59" i="6"/>
  <c r="AT59" i="6"/>
  <c r="AV59" i="6"/>
  <c r="AO59" i="6"/>
  <c r="AW59" i="6"/>
  <c r="AP27" i="6"/>
  <c r="AR27" i="6"/>
  <c r="AX27" i="6"/>
  <c r="AS27" i="6"/>
  <c r="AQ27" i="6"/>
  <c r="AT27" i="6"/>
  <c r="AV27" i="6"/>
  <c r="AU27" i="6"/>
  <c r="AW27" i="6"/>
  <c r="AO27" i="6"/>
  <c r="AG69" i="6"/>
  <c r="V49" i="6"/>
  <c r="S49" i="6"/>
  <c r="U69" i="6"/>
  <c r="AJ69" i="6"/>
  <c r="AH49" i="6"/>
  <c r="AK45" i="6"/>
  <c r="AC49" i="6"/>
  <c r="Z49" i="6"/>
  <c r="S69" i="6"/>
  <c r="AI67" i="6"/>
  <c r="R37" i="6"/>
  <c r="AM37" i="6"/>
  <c r="AM20" i="6"/>
  <c r="AI45" i="6"/>
  <c r="W38" i="6"/>
  <c r="AF45" i="6"/>
  <c r="AA65" i="6"/>
  <c r="AU33" i="6"/>
  <c r="AV33" i="6"/>
  <c r="AO33" i="6"/>
  <c r="AW33" i="6"/>
  <c r="AP33" i="6"/>
  <c r="AX33" i="6"/>
  <c r="AS33" i="6"/>
  <c r="AT33" i="6"/>
  <c r="AQ33" i="6"/>
  <c r="AR33" i="6"/>
  <c r="AW44" i="6"/>
  <c r="AT44" i="6"/>
  <c r="AP44" i="6"/>
  <c r="AX44" i="6"/>
  <c r="AS44" i="6"/>
  <c r="AU44" i="6"/>
  <c r="AR44" i="6"/>
  <c r="AV44" i="6"/>
  <c r="AO44" i="6"/>
  <c r="AQ44" i="6"/>
  <c r="AS54" i="6"/>
  <c r="AT54" i="6"/>
  <c r="AU54" i="6"/>
  <c r="AP54" i="6"/>
  <c r="AV54" i="6"/>
  <c r="AQ54" i="6"/>
  <c r="AX54" i="6"/>
  <c r="AO54" i="6"/>
  <c r="AR54" i="6"/>
  <c r="AW54" i="6"/>
  <c r="AR18" i="6"/>
  <c r="AS18" i="6"/>
  <c r="AT18" i="6"/>
  <c r="AP18" i="6"/>
  <c r="AU18" i="6"/>
  <c r="AQ18" i="6"/>
  <c r="AX18" i="6"/>
  <c r="AV18" i="6"/>
  <c r="AW18" i="6"/>
  <c r="AO18" i="6"/>
  <c r="P60" i="6"/>
  <c r="AV60" i="6"/>
  <c r="AO60" i="6"/>
  <c r="AU60" i="6"/>
  <c r="AT60" i="6"/>
  <c r="AR60" i="6"/>
  <c r="AP60" i="6"/>
  <c r="AQ60" i="6"/>
  <c r="AS60" i="6"/>
  <c r="AX60" i="6"/>
  <c r="AW60" i="6"/>
  <c r="AI60" i="6"/>
  <c r="AF60" i="6"/>
  <c r="AD8" i="6"/>
  <c r="AE8" i="6"/>
  <c r="AD17" i="6"/>
  <c r="AE17" i="6"/>
  <c r="AD33" i="6"/>
  <c r="AE33" i="6"/>
  <c r="AD41" i="6"/>
  <c r="AE41" i="6"/>
  <c r="AD49" i="6"/>
  <c r="AE49" i="6"/>
  <c r="AD69" i="6"/>
  <c r="AE69" i="6"/>
  <c r="AD15" i="6"/>
  <c r="AE15" i="6"/>
  <c r="AD31" i="6"/>
  <c r="AE31" i="6"/>
  <c r="AD18" i="6"/>
  <c r="AE18" i="6"/>
  <c r="AD26" i="6"/>
  <c r="AE26" i="6"/>
  <c r="AD34" i="6"/>
  <c r="AE34" i="6"/>
  <c r="AD42" i="6"/>
  <c r="AE42" i="6"/>
  <c r="AD50" i="6"/>
  <c r="AE50" i="6"/>
  <c r="AD62" i="6"/>
  <c r="AE62" i="6"/>
  <c r="AD70" i="6"/>
  <c r="AE70" i="6"/>
  <c r="AD32" i="6"/>
  <c r="AE32" i="6"/>
  <c r="AD19" i="6"/>
  <c r="AE19" i="6"/>
  <c r="AD27" i="6"/>
  <c r="AE27" i="6"/>
  <c r="AD36" i="6"/>
  <c r="AE36" i="6"/>
  <c r="AD43" i="6"/>
  <c r="AE43" i="6"/>
  <c r="AD51" i="6"/>
  <c r="AE51" i="6"/>
  <c r="AD72" i="6"/>
  <c r="AE72" i="6"/>
  <c r="AD67" i="6"/>
  <c r="AE67" i="6"/>
  <c r="AD20" i="6"/>
  <c r="AE20" i="6"/>
  <c r="AD28" i="6"/>
  <c r="AE28" i="6"/>
  <c r="AD35" i="6"/>
  <c r="AE35" i="6"/>
  <c r="AD44" i="6"/>
  <c r="AE44" i="6"/>
  <c r="AD52" i="6"/>
  <c r="AE52" i="6"/>
  <c r="AD64" i="6"/>
  <c r="AE64" i="6"/>
  <c r="AD57" i="6"/>
  <c r="AE57" i="6"/>
  <c r="AD24" i="6"/>
  <c r="AE24" i="6"/>
  <c r="AD21" i="6"/>
  <c r="AE21" i="6"/>
  <c r="AD37" i="6"/>
  <c r="AE37" i="6"/>
  <c r="AD45" i="6"/>
  <c r="AE45" i="6"/>
  <c r="AD53" i="6"/>
  <c r="AE53" i="6"/>
  <c r="AD65" i="6"/>
  <c r="AE65" i="6"/>
  <c r="AD60" i="6"/>
  <c r="AE60" i="6"/>
  <c r="AD16" i="6"/>
  <c r="AE16" i="6"/>
  <c r="AD38" i="6"/>
  <c r="AE38" i="6"/>
  <c r="AD46" i="6"/>
  <c r="AE46" i="6"/>
  <c r="AD54" i="6"/>
  <c r="AE54" i="6"/>
  <c r="AD66" i="6"/>
  <c r="AE66" i="6"/>
  <c r="AD59" i="6"/>
  <c r="AE59" i="6"/>
  <c r="O69" i="6"/>
  <c r="AG15" i="6"/>
  <c r="AM31" i="6"/>
  <c r="U26" i="6"/>
  <c r="AB42" i="6"/>
  <c r="AA70" i="6"/>
  <c r="M27" i="6"/>
  <c r="S51" i="6"/>
  <c r="AI72" i="6"/>
  <c r="R20" i="6"/>
  <c r="V28" i="6"/>
  <c r="AJ35" i="6"/>
  <c r="X52" i="6"/>
  <c r="Z24" i="6"/>
  <c r="W21" i="6"/>
  <c r="AL37" i="6"/>
  <c r="AH53" i="6"/>
  <c r="W60" i="6"/>
  <c r="AK54" i="6"/>
  <c r="H67" i="6"/>
  <c r="AH66" i="6"/>
  <c r="K65" i="6"/>
  <c r="W46" i="6"/>
  <c r="W43" i="6"/>
  <c r="H18" i="6"/>
  <c r="AK16" i="6"/>
  <c r="N20" i="6"/>
  <c r="I20" i="6"/>
  <c r="P16" i="6"/>
  <c r="M31" i="6"/>
  <c r="T37" i="6"/>
  <c r="AN20" i="6"/>
  <c r="U51" i="6"/>
  <c r="S16" i="6"/>
  <c r="R67" i="6"/>
  <c r="AF67" i="6"/>
  <c r="AB20" i="6"/>
  <c r="J37" i="6"/>
  <c r="K67" i="6"/>
  <c r="AB67" i="6"/>
  <c r="S37" i="6"/>
  <c r="Z20" i="6"/>
  <c r="AA67" i="6"/>
  <c r="AJ20" i="6"/>
  <c r="AL51" i="6"/>
  <c r="S67" i="6"/>
  <c r="H20" i="6"/>
  <c r="AK20" i="6"/>
  <c r="AA16" i="6"/>
  <c r="H49" i="6"/>
  <c r="K49" i="6"/>
  <c r="T49" i="6"/>
  <c r="AG49" i="6"/>
  <c r="AF49" i="6"/>
  <c r="AJ49" i="6"/>
  <c r="AK21" i="6"/>
  <c r="AL53" i="6"/>
  <c r="M20" i="6"/>
  <c r="AN53" i="6"/>
  <c r="O36" i="6"/>
  <c r="T60" i="6"/>
  <c r="U43" i="6"/>
  <c r="W51" i="6"/>
  <c r="AA36" i="6"/>
  <c r="J43" i="6"/>
  <c r="AI43" i="6"/>
  <c r="O65" i="6"/>
  <c r="H36" i="6"/>
  <c r="N36" i="6"/>
  <c r="J65" i="6"/>
  <c r="AH36" i="6"/>
  <c r="AA60" i="6"/>
  <c r="I36" i="6"/>
  <c r="AL43" i="6"/>
  <c r="X36" i="6"/>
  <c r="AB36" i="6"/>
  <c r="P31" i="6"/>
  <c r="H65" i="6"/>
  <c r="AG65" i="6"/>
  <c r="Z43" i="6"/>
  <c r="AB43" i="6"/>
  <c r="Z51" i="6"/>
  <c r="AG43" i="6"/>
  <c r="L31" i="6"/>
  <c r="O31" i="6"/>
  <c r="I60" i="6"/>
  <c r="AK60" i="6"/>
  <c r="R60" i="6"/>
  <c r="X60" i="6"/>
  <c r="AG51" i="6"/>
  <c r="H66" i="6"/>
  <c r="V36" i="6"/>
  <c r="AC65" i="6"/>
  <c r="AC66" i="6"/>
  <c r="AH65" i="6"/>
  <c r="AF31" i="6"/>
  <c r="H43" i="6"/>
  <c r="P36" i="6"/>
  <c r="AK43" i="6"/>
  <c r="AB31" i="6"/>
  <c r="V60" i="6"/>
  <c r="Y51" i="6"/>
  <c r="AJ36" i="6"/>
  <c r="R36" i="6"/>
  <c r="AF70" i="6"/>
  <c r="V31" i="6"/>
  <c r="Q65" i="6"/>
  <c r="Y36" i="6"/>
  <c r="AK65" i="6"/>
  <c r="K60" i="6"/>
  <c r="AH54" i="6"/>
  <c r="R31" i="6"/>
  <c r="J60" i="6"/>
  <c r="AI51" i="6"/>
  <c r="AF43" i="6"/>
  <c r="AB51" i="6"/>
  <c r="W36" i="6"/>
  <c r="Y43" i="6"/>
  <c r="Z36" i="6"/>
  <c r="J51" i="6"/>
  <c r="N31" i="6"/>
  <c r="AH31" i="6"/>
  <c r="AJ60" i="6"/>
  <c r="Q60" i="6"/>
  <c r="AH43" i="6"/>
  <c r="AK36" i="6"/>
  <c r="P65" i="6"/>
  <c r="AN36" i="6"/>
  <c r="Y44" i="6"/>
  <c r="AC51" i="6"/>
  <c r="K31" i="6"/>
  <c r="AA31" i="6"/>
  <c r="U31" i="6"/>
  <c r="AG60" i="6"/>
  <c r="U60" i="6"/>
  <c r="AN60" i="6"/>
  <c r="AI44" i="6"/>
  <c r="U36" i="6"/>
  <c r="W65" i="6"/>
  <c r="AI36" i="6"/>
  <c r="T43" i="6"/>
  <c r="J31" i="6"/>
  <c r="Z31" i="6"/>
  <c r="AM60" i="6"/>
  <c r="V51" i="6"/>
  <c r="AM36" i="6"/>
  <c r="AB65" i="6"/>
  <c r="AF51" i="6"/>
  <c r="H31" i="6"/>
  <c r="S60" i="6"/>
  <c r="L36" i="6"/>
  <c r="T36" i="6"/>
  <c r="V65" i="6"/>
  <c r="AB54" i="6"/>
  <c r="X65" i="6"/>
  <c r="Z60" i="6"/>
  <c r="N60" i="6"/>
  <c r="X31" i="6"/>
  <c r="AF36" i="6"/>
  <c r="AM65" i="6"/>
  <c r="K36" i="6"/>
  <c r="AB70" i="6"/>
  <c r="J36" i="6"/>
  <c r="AN65" i="6"/>
  <c r="AG31" i="6"/>
  <c r="L60" i="6"/>
  <c r="Y60" i="6"/>
  <c r="AH60" i="6"/>
  <c r="S31" i="6"/>
  <c r="R65" i="6"/>
  <c r="AC72" i="6"/>
  <c r="AK72" i="6"/>
  <c r="AJ72" i="6"/>
  <c r="AM72" i="6"/>
  <c r="AL72" i="6"/>
  <c r="AN72" i="6"/>
  <c r="Z65" i="6"/>
  <c r="X43" i="6"/>
  <c r="W31" i="6"/>
  <c r="Y31" i="6"/>
  <c r="AC60" i="6"/>
  <c r="Q36" i="6"/>
  <c r="H51" i="6"/>
  <c r="T51" i="6"/>
  <c r="X51" i="6"/>
  <c r="T31" i="6"/>
  <c r="AC31" i="6"/>
  <c r="S36" i="6"/>
  <c r="V43" i="6"/>
  <c r="AN31" i="6"/>
  <c r="J15" i="6"/>
  <c r="I31" i="6"/>
  <c r="H60" i="6"/>
  <c r="AK31" i="6"/>
  <c r="AL60" i="6"/>
  <c r="O67" i="6"/>
  <c r="L67" i="6"/>
  <c r="L65" i="6"/>
  <c r="M36" i="6"/>
  <c r="T65" i="6"/>
  <c r="Q20" i="6"/>
  <c r="AL36" i="6"/>
  <c r="BM90" i="3"/>
  <c r="BS90" i="3"/>
  <c r="BM111" i="3"/>
  <c r="BS111" i="3"/>
  <c r="BS106" i="3"/>
  <c r="X66" i="6"/>
  <c r="U66" i="6"/>
  <c r="P41" i="6"/>
  <c r="I59" i="6"/>
  <c r="V41" i="6"/>
  <c r="N41" i="6"/>
  <c r="AB59" i="6"/>
  <c r="Q41" i="6"/>
  <c r="AH41" i="6"/>
  <c r="N59" i="6"/>
  <c r="AB66" i="6"/>
  <c r="AK59" i="6"/>
  <c r="AM66" i="6"/>
  <c r="T66" i="6"/>
  <c r="Q18" i="6"/>
  <c r="T59" i="6"/>
  <c r="R66" i="6"/>
  <c r="AI66" i="6"/>
  <c r="U41" i="6"/>
  <c r="J66" i="6"/>
  <c r="J20" i="6"/>
  <c r="I45" i="6"/>
  <c r="AC36" i="6"/>
  <c r="AL59" i="6"/>
  <c r="AH59" i="6"/>
  <c r="L59" i="6"/>
  <c r="AA59" i="6"/>
  <c r="Y59" i="6"/>
  <c r="AJ59" i="6"/>
  <c r="Z59" i="6"/>
  <c r="S59" i="6"/>
  <c r="AG59" i="6"/>
  <c r="K59" i="6"/>
  <c r="P59" i="6"/>
  <c r="M59" i="6"/>
  <c r="G12" i="6"/>
  <c r="AY12" i="6" s="1"/>
  <c r="AI28" i="6"/>
  <c r="T28" i="6"/>
  <c r="O54" i="6"/>
  <c r="K72" i="6"/>
  <c r="AG72" i="6"/>
  <c r="H28" i="6"/>
  <c r="U28" i="6"/>
  <c r="L72" i="6"/>
  <c r="K16" i="6"/>
  <c r="T16" i="6"/>
  <c r="P54" i="6"/>
  <c r="AG28" i="6"/>
  <c r="S66" i="6"/>
  <c r="AI16" i="6"/>
  <c r="M28" i="6"/>
  <c r="V66" i="6"/>
  <c r="M72" i="6"/>
  <c r="U18" i="6"/>
  <c r="P15" i="6"/>
  <c r="AA66" i="6"/>
  <c r="Y28" i="6"/>
  <c r="AK66" i="6"/>
  <c r="T72" i="6"/>
  <c r="N28" i="6"/>
  <c r="AB28" i="6"/>
  <c r="AH28" i="6"/>
  <c r="Z72" i="6"/>
  <c r="AJ18" i="6"/>
  <c r="X28" i="6"/>
  <c r="AJ66" i="6"/>
  <c r="Z28" i="6"/>
  <c r="L66" i="6"/>
  <c r="AC28" i="6"/>
  <c r="Q66" i="6"/>
  <c r="W28" i="6"/>
  <c r="AL28" i="6"/>
  <c r="AA72" i="6"/>
  <c r="S18" i="6"/>
  <c r="R28" i="6"/>
  <c r="O24" i="6"/>
  <c r="AG66" i="6"/>
  <c r="Q28" i="6"/>
  <c r="I66" i="6"/>
  <c r="M66" i="6"/>
  <c r="U45" i="6"/>
  <c r="L57" i="6"/>
  <c r="U72" i="6"/>
  <c r="I72" i="6"/>
  <c r="P66" i="6"/>
  <c r="J28" i="6"/>
  <c r="AN66" i="6"/>
  <c r="K66" i="6"/>
  <c r="W66" i="6"/>
  <c r="R52" i="6"/>
  <c r="AF18" i="6"/>
  <c r="I54" i="6"/>
  <c r="V72" i="6"/>
  <c r="Y72" i="6"/>
  <c r="K28" i="6"/>
  <c r="N72" i="6"/>
  <c r="AF72" i="6"/>
  <c r="AN28" i="6"/>
  <c r="S28" i="6"/>
  <c r="O66" i="6"/>
  <c r="AJ28" i="6"/>
  <c r="R16" i="6"/>
  <c r="AA35" i="6"/>
  <c r="W72" i="6"/>
  <c r="AA28" i="6"/>
  <c r="AM45" i="6"/>
  <c r="W54" i="6"/>
  <c r="Z66" i="6"/>
  <c r="X45" i="6"/>
  <c r="S72" i="6"/>
  <c r="J72" i="6"/>
  <c r="X72" i="6"/>
  <c r="AK28" i="6"/>
  <c r="Q45" i="6"/>
  <c r="Z54" i="6"/>
  <c r="N66" i="6"/>
  <c r="U27" i="6"/>
  <c r="AH52" i="6"/>
  <c r="I28" i="6"/>
  <c r="AN18" i="6"/>
  <c r="P28" i="6"/>
  <c r="O28" i="6"/>
  <c r="AF28" i="6"/>
  <c r="U16" i="6"/>
  <c r="AM28" i="6"/>
  <c r="O16" i="6"/>
  <c r="AL41" i="6"/>
  <c r="AB60" i="6"/>
  <c r="O60" i="6"/>
  <c r="AC16" i="6"/>
  <c r="AJ31" i="6"/>
  <c r="L28" i="6"/>
  <c r="AL45" i="6"/>
  <c r="S65" i="6"/>
  <c r="N65" i="6"/>
  <c r="AC37" i="6"/>
  <c r="AC27" i="6"/>
  <c r="Z70" i="6"/>
  <c r="H59" i="6"/>
  <c r="V59" i="6"/>
  <c r="AC59" i="6"/>
  <c r="W59" i="6"/>
  <c r="Q59" i="6"/>
  <c r="J59" i="6"/>
  <c r="AI59" i="6"/>
  <c r="AN59" i="6"/>
  <c r="X59" i="6"/>
  <c r="O59" i="6"/>
  <c r="AF59" i="6"/>
  <c r="R59" i="6"/>
  <c r="U59" i="6"/>
  <c r="AM59" i="6"/>
  <c r="AF46" i="6"/>
  <c r="AN33" i="6"/>
  <c r="AN16" i="6"/>
  <c r="X15" i="6"/>
  <c r="H41" i="6"/>
  <c r="Q33" i="6"/>
  <c r="T33" i="6"/>
  <c r="AM41" i="6"/>
  <c r="AF16" i="6"/>
  <c r="Z15" i="6"/>
  <c r="AB21" i="6"/>
  <c r="X46" i="6"/>
  <c r="T21" i="6"/>
  <c r="AH46" i="6"/>
  <c r="K35" i="6"/>
  <c r="U33" i="6"/>
  <c r="AJ21" i="6"/>
  <c r="N35" i="6"/>
  <c r="AA21" i="6"/>
  <c r="L35" i="6"/>
  <c r="J26" i="6"/>
  <c r="AF26" i="6"/>
  <c r="L16" i="6"/>
  <c r="AJ16" i="6"/>
  <c r="H15" i="6"/>
  <c r="AI33" i="6"/>
  <c r="AK33" i="6"/>
  <c r="AF33" i="6"/>
  <c r="AI41" i="6"/>
  <c r="W41" i="6"/>
  <c r="Z41" i="6"/>
  <c r="H46" i="6"/>
  <c r="AN54" i="6"/>
  <c r="S41" i="6"/>
  <c r="Q31" i="6"/>
  <c r="M15" i="6"/>
  <c r="BA25" i="6"/>
  <c r="AC26" i="6"/>
  <c r="Z35" i="6"/>
  <c r="O35" i="6"/>
  <c r="AM16" i="6"/>
  <c r="AG16" i="6"/>
  <c r="V15" i="6"/>
  <c r="AB33" i="6"/>
  <c r="L41" i="6"/>
  <c r="V16" i="6"/>
  <c r="AB35" i="6"/>
  <c r="O21" i="6"/>
  <c r="AN46" i="6"/>
  <c r="U54" i="6"/>
  <c r="AC54" i="6"/>
  <c r="R35" i="6"/>
  <c r="T35" i="6"/>
  <c r="AL16" i="6"/>
  <c r="Y16" i="6"/>
  <c r="I41" i="6"/>
  <c r="M41" i="6"/>
  <c r="AH33" i="6"/>
  <c r="K41" i="6"/>
  <c r="AI54" i="6"/>
  <c r="M21" i="6"/>
  <c r="AI46" i="6"/>
  <c r="AM54" i="6"/>
  <c r="M54" i="6"/>
  <c r="M65" i="6"/>
  <c r="X33" i="6"/>
  <c r="K33" i="6"/>
  <c r="AC41" i="6"/>
  <c r="AK41" i="6"/>
  <c r="AL21" i="6"/>
  <c r="AI21" i="6"/>
  <c r="M46" i="6"/>
  <c r="T54" i="6"/>
  <c r="H21" i="6"/>
  <c r="AF65" i="6"/>
  <c r="T53" i="6"/>
  <c r="U15" i="6"/>
  <c r="AG33" i="6"/>
  <c r="W33" i="6"/>
  <c r="M26" i="6"/>
  <c r="AF21" i="6"/>
  <c r="M35" i="6"/>
  <c r="Q16" i="6"/>
  <c r="I16" i="6"/>
  <c r="AB16" i="6"/>
  <c r="X16" i="6"/>
  <c r="AJ33" i="6"/>
  <c r="Y41" i="6"/>
  <c r="AG41" i="6"/>
  <c r="AH16" i="6"/>
  <c r="L21" i="6"/>
  <c r="AA46" i="6"/>
  <c r="AL54" i="6"/>
  <c r="J21" i="6"/>
  <c r="X21" i="6"/>
  <c r="AM27" i="6"/>
  <c r="M33" i="6"/>
  <c r="N33" i="6"/>
  <c r="O26" i="6"/>
  <c r="AL33" i="6"/>
  <c r="V54" i="6"/>
  <c r="AC46" i="6"/>
  <c r="AI35" i="6"/>
  <c r="N16" i="6"/>
  <c r="H16" i="6"/>
  <c r="S33" i="6"/>
  <c r="AC33" i="6"/>
  <c r="X41" i="6"/>
  <c r="J41" i="6"/>
  <c r="T41" i="6"/>
  <c r="S54" i="6"/>
  <c r="I21" i="6"/>
  <c r="Z16" i="6"/>
  <c r="W16" i="6"/>
  <c r="AJ41" i="6"/>
  <c r="I33" i="6"/>
  <c r="AA41" i="6"/>
  <c r="Y21" i="6"/>
  <c r="AG21" i="6"/>
  <c r="H54" i="6"/>
  <c r="N54" i="6"/>
  <c r="Q21" i="6"/>
  <c r="I65" i="6"/>
  <c r="Y65" i="6"/>
  <c r="U53" i="6"/>
  <c r="AF35" i="6"/>
  <c r="M16" i="6"/>
  <c r="AN15" i="6"/>
  <c r="R41" i="6"/>
  <c r="AN41" i="6"/>
  <c r="J35" i="6"/>
  <c r="AG54" i="6"/>
  <c r="K21" i="6"/>
  <c r="AA54" i="6"/>
  <c r="K54" i="6"/>
  <c r="R21" i="6"/>
  <c r="I35" i="6"/>
  <c r="N15" i="6"/>
  <c r="R33" i="6"/>
  <c r="Y33" i="6"/>
  <c r="O41" i="6"/>
  <c r="AZ41" i="6" s="1"/>
  <c r="H35" i="6"/>
  <c r="AM35" i="6"/>
  <c r="Y54" i="6"/>
  <c r="V21" i="6"/>
  <c r="AH21" i="6"/>
  <c r="X54" i="6"/>
  <c r="P53" i="6"/>
  <c r="AI65" i="6"/>
  <c r="AJ65" i="6"/>
  <c r="U44" i="6"/>
  <c r="AC35" i="6"/>
  <c r="BA48" i="6"/>
  <c r="L26" i="6"/>
  <c r="U46" i="6"/>
  <c r="AL35" i="6"/>
  <c r="J33" i="6"/>
  <c r="AA33" i="6"/>
  <c r="R54" i="6"/>
  <c r="P46" i="6"/>
  <c r="AC21" i="6"/>
  <c r="Q35" i="6"/>
  <c r="J16" i="6"/>
  <c r="Z21" i="6"/>
  <c r="AM15" i="6"/>
  <c r="AM33" i="6"/>
  <c r="H33" i="6"/>
  <c r="AZ33" i="6" s="1"/>
  <c r="J53" i="6"/>
  <c r="U65" i="6"/>
  <c r="AM21" i="6"/>
  <c r="AL66" i="6"/>
  <c r="AF66" i="6"/>
  <c r="Y66" i="6"/>
  <c r="Z37" i="6"/>
  <c r="Z44" i="6"/>
  <c r="W44" i="6"/>
  <c r="I19" i="6"/>
  <c r="K19" i="6"/>
  <c r="L19" i="6"/>
  <c r="M19" i="6"/>
  <c r="AJ19" i="6"/>
  <c r="Y26" i="6"/>
  <c r="AK15" i="6"/>
  <c r="AC15" i="6"/>
  <c r="Y24" i="6"/>
  <c r="M52" i="6"/>
  <c r="K46" i="6"/>
  <c r="V46" i="6"/>
  <c r="AM38" i="6"/>
  <c r="Z46" i="6"/>
  <c r="J46" i="6"/>
  <c r="K38" i="6"/>
  <c r="AH37" i="6"/>
  <c r="AL19" i="6"/>
  <c r="AL44" i="6"/>
  <c r="Z17" i="6"/>
  <c r="M17" i="6"/>
  <c r="AI17" i="6"/>
  <c r="AA17" i="6"/>
  <c r="N17" i="6"/>
  <c r="AB17" i="6"/>
  <c r="O17" i="6"/>
  <c r="AF17" i="6"/>
  <c r="P17" i="6"/>
  <c r="Q17" i="6"/>
  <c r="AJ17" i="6"/>
  <c r="J17" i="6"/>
  <c r="AH17" i="6"/>
  <c r="R17" i="6"/>
  <c r="AK17" i="6"/>
  <c r="U17" i="6"/>
  <c r="I17" i="6"/>
  <c r="S17" i="6"/>
  <c r="AL17" i="6"/>
  <c r="T17" i="6"/>
  <c r="AM17" i="6"/>
  <c r="L17" i="6"/>
  <c r="AN17" i="6"/>
  <c r="V17" i="6"/>
  <c r="X17" i="6"/>
  <c r="Y17" i="6"/>
  <c r="AG17" i="6"/>
  <c r="W17" i="6"/>
  <c r="H17" i="6"/>
  <c r="AC17" i="6"/>
  <c r="K17" i="6"/>
  <c r="AI26" i="6"/>
  <c r="AB44" i="6"/>
  <c r="J44" i="6"/>
  <c r="H44" i="6"/>
  <c r="L44" i="6"/>
  <c r="Q44" i="6"/>
  <c r="Q19" i="6"/>
  <c r="Y52" i="6"/>
  <c r="AB18" i="6"/>
  <c r="AB26" i="6"/>
  <c r="L24" i="6"/>
  <c r="AL24" i="6"/>
  <c r="R24" i="6"/>
  <c r="AG38" i="6"/>
  <c r="S27" i="6"/>
  <c r="X44" i="6"/>
  <c r="AB27" i="6"/>
  <c r="AK19" i="6"/>
  <c r="AM44" i="6"/>
  <c r="Z26" i="6"/>
  <c r="AM18" i="6"/>
  <c r="I26" i="6"/>
  <c r="O15" i="6"/>
  <c r="T15" i="6"/>
  <c r="AK24" i="6"/>
  <c r="AJ15" i="6"/>
  <c r="M24" i="6"/>
  <c r="P18" i="6"/>
  <c r="AI52" i="6"/>
  <c r="X38" i="6"/>
  <c r="AL38" i="6"/>
  <c r="AK46" i="6"/>
  <c r="P24" i="6"/>
  <c r="Y38" i="6"/>
  <c r="AF44" i="6"/>
  <c r="AM19" i="6"/>
  <c r="K44" i="6"/>
  <c r="R34" i="6"/>
  <c r="AK34" i="6"/>
  <c r="S34" i="6"/>
  <c r="AL34" i="6"/>
  <c r="T34" i="6"/>
  <c r="AM34" i="6"/>
  <c r="I34" i="6"/>
  <c r="U34" i="6"/>
  <c r="AN34" i="6"/>
  <c r="V34" i="6"/>
  <c r="N34" i="6"/>
  <c r="W34" i="6"/>
  <c r="Q34" i="6"/>
  <c r="H34" i="6"/>
  <c r="X34" i="6"/>
  <c r="AC34" i="6"/>
  <c r="Y34" i="6"/>
  <c r="J34" i="6"/>
  <c r="Z34" i="6"/>
  <c r="AF34" i="6"/>
  <c r="K34" i="6"/>
  <c r="AG34" i="6"/>
  <c r="P34" i="6"/>
  <c r="L34" i="6"/>
  <c r="AH34" i="6"/>
  <c r="M34" i="6"/>
  <c r="AI34" i="6"/>
  <c r="O34" i="6"/>
  <c r="AJ34" i="6"/>
  <c r="R19" i="6"/>
  <c r="AA19" i="6"/>
  <c r="AH19" i="6"/>
  <c r="N52" i="6"/>
  <c r="O52" i="6"/>
  <c r="P52" i="6"/>
  <c r="AM52" i="6"/>
  <c r="Q52" i="6"/>
  <c r="U52" i="6"/>
  <c r="AK52" i="6"/>
  <c r="AN52" i="6"/>
  <c r="L52" i="6"/>
  <c r="AL52" i="6"/>
  <c r="H52" i="6"/>
  <c r="R18" i="6"/>
  <c r="L15" i="6"/>
  <c r="AM24" i="6"/>
  <c r="X24" i="6"/>
  <c r="J19" i="6"/>
  <c r="S38" i="6"/>
  <c r="R46" i="6"/>
  <c r="AI38" i="6"/>
  <c r="V44" i="6"/>
  <c r="O27" i="6"/>
  <c r="L27" i="6"/>
  <c r="AB52" i="6"/>
  <c r="P32" i="6"/>
  <c r="Q32" i="6"/>
  <c r="AG32" i="6"/>
  <c r="AJ32" i="6"/>
  <c r="R32" i="6"/>
  <c r="AK32" i="6"/>
  <c r="S32" i="6"/>
  <c r="AL32" i="6"/>
  <c r="T32" i="6"/>
  <c r="AM32" i="6"/>
  <c r="AN32" i="6"/>
  <c r="V32" i="6"/>
  <c r="H32" i="6"/>
  <c r="U32" i="6"/>
  <c r="AH32" i="6"/>
  <c r="AF32" i="6"/>
  <c r="N32" i="6"/>
  <c r="O32" i="6"/>
  <c r="W32" i="6"/>
  <c r="X32" i="6"/>
  <c r="AA32" i="6"/>
  <c r="L32" i="6"/>
  <c r="AI32" i="6"/>
  <c r="I32" i="6"/>
  <c r="Y32" i="6"/>
  <c r="M32" i="6"/>
  <c r="J32" i="6"/>
  <c r="AC32" i="6"/>
  <c r="Z32" i="6"/>
  <c r="K32" i="6"/>
  <c r="AB32" i="6"/>
  <c r="AJ43" i="6"/>
  <c r="AM43" i="6"/>
  <c r="P43" i="6"/>
  <c r="O43" i="6"/>
  <c r="L43" i="6"/>
  <c r="K43" i="6"/>
  <c r="AC43" i="6"/>
  <c r="I43" i="6"/>
  <c r="M43" i="6"/>
  <c r="N43" i="6"/>
  <c r="Q43" i="6"/>
  <c r="R43" i="6"/>
  <c r="K57" i="6"/>
  <c r="AH57" i="6"/>
  <c r="M57" i="6"/>
  <c r="AI57" i="6"/>
  <c r="AM57" i="6"/>
  <c r="AC57" i="6"/>
  <c r="J57" i="6"/>
  <c r="N57" i="6"/>
  <c r="X57" i="6"/>
  <c r="O57" i="6"/>
  <c r="T57" i="6"/>
  <c r="P57" i="6"/>
  <c r="S57" i="6"/>
  <c r="W57" i="6"/>
  <c r="Z57" i="6"/>
  <c r="Q57" i="6"/>
  <c r="AJ57" i="6"/>
  <c r="AK57" i="6"/>
  <c r="AL57" i="6"/>
  <c r="AG57" i="6"/>
  <c r="AA57" i="6"/>
  <c r="R57" i="6"/>
  <c r="AB57" i="6"/>
  <c r="AF57" i="6"/>
  <c r="U57" i="6"/>
  <c r="AN57" i="6"/>
  <c r="Y57" i="6"/>
  <c r="V57" i="6"/>
  <c r="H57" i="6"/>
  <c r="I57" i="6"/>
  <c r="AG37" i="6"/>
  <c r="N37" i="6"/>
  <c r="I37" i="6"/>
  <c r="K37" i="6"/>
  <c r="L37" i="6"/>
  <c r="M37" i="6"/>
  <c r="O37" i="6"/>
  <c r="Q37" i="6"/>
  <c r="Y37" i="6"/>
  <c r="P37" i="6"/>
  <c r="X37" i="6"/>
  <c r="AG44" i="6"/>
  <c r="K18" i="6"/>
  <c r="I24" i="6"/>
  <c r="AA18" i="6"/>
  <c r="H26" i="6"/>
  <c r="K26" i="6"/>
  <c r="K15" i="6"/>
  <c r="K24" i="6"/>
  <c r="AJ24" i="6"/>
  <c r="O44" i="6"/>
  <c r="AC19" i="6"/>
  <c r="R38" i="6"/>
  <c r="T46" i="6"/>
  <c r="AJ54" i="6"/>
  <c r="P19" i="6"/>
  <c r="AJ52" i="6"/>
  <c r="AA34" i="6"/>
  <c r="U42" i="6"/>
  <c r="AN42" i="6"/>
  <c r="V42" i="6"/>
  <c r="W42" i="6"/>
  <c r="H42" i="6"/>
  <c r="X42" i="6"/>
  <c r="Z42" i="6"/>
  <c r="I42" i="6"/>
  <c r="Y42" i="6"/>
  <c r="AK42" i="6"/>
  <c r="AA42" i="6"/>
  <c r="J42" i="6"/>
  <c r="AC42" i="6"/>
  <c r="L42" i="6"/>
  <c r="AI42" i="6"/>
  <c r="S42" i="6"/>
  <c r="T42" i="6"/>
  <c r="AM42" i="6"/>
  <c r="AF42" i="6"/>
  <c r="K42" i="6"/>
  <c r="AG42" i="6"/>
  <c r="AH42" i="6"/>
  <c r="M42" i="6"/>
  <c r="AJ42" i="6"/>
  <c r="N42" i="6"/>
  <c r="AL42" i="6"/>
  <c r="O42" i="6"/>
  <c r="P42" i="6"/>
  <c r="Q42" i="6"/>
  <c r="R42" i="6"/>
  <c r="M44" i="6"/>
  <c r="M38" i="6"/>
  <c r="R27" i="6"/>
  <c r="V27" i="6"/>
  <c r="AH27" i="6"/>
  <c r="AI27" i="6"/>
  <c r="Q27" i="6"/>
  <c r="P27" i="6"/>
  <c r="J27" i="6"/>
  <c r="I15" i="6"/>
  <c r="AA24" i="6"/>
  <c r="W24" i="6"/>
  <c r="N44" i="6"/>
  <c r="AJ38" i="6"/>
  <c r="AJ46" i="6"/>
  <c r="T44" i="6"/>
  <c r="V52" i="6"/>
  <c r="AL31" i="6"/>
  <c r="W37" i="6"/>
  <c r="AG36" i="6"/>
  <c r="AL27" i="6"/>
  <c r="AI19" i="6"/>
  <c r="AA43" i="6"/>
  <c r="M51" i="6"/>
  <c r="N51" i="6"/>
  <c r="O51" i="6"/>
  <c r="L51" i="6"/>
  <c r="P51" i="6"/>
  <c r="K51" i="6"/>
  <c r="Q51" i="6"/>
  <c r="R51" i="6"/>
  <c r="AH51" i="6"/>
  <c r="I51" i="6"/>
  <c r="AK51" i="6"/>
  <c r="AM51" i="6"/>
  <c r="AN51" i="6"/>
  <c r="T19" i="6"/>
  <c r="AB19" i="6"/>
  <c r="O18" i="6"/>
  <c r="X27" i="6"/>
  <c r="T27" i="6"/>
  <c r="AF19" i="6"/>
  <c r="N38" i="6"/>
  <c r="AA27" i="6"/>
  <c r="N18" i="6"/>
  <c r="AI18" i="6"/>
  <c r="L18" i="6"/>
  <c r="W15" i="6"/>
  <c r="AI24" i="6"/>
  <c r="AF24" i="6"/>
  <c r="P26" i="6"/>
  <c r="Q38" i="6"/>
  <c r="Q46" i="6"/>
  <c r="AF52" i="6"/>
  <c r="H38" i="6"/>
  <c r="AC44" i="6"/>
  <c r="Z52" i="6"/>
  <c r="AN27" i="6"/>
  <c r="AA50" i="6"/>
  <c r="N50" i="6"/>
  <c r="AF50" i="6"/>
  <c r="O50" i="6"/>
  <c r="I50" i="6"/>
  <c r="J50" i="6"/>
  <c r="P50" i="6"/>
  <c r="K50" i="6"/>
  <c r="Q50" i="6"/>
  <c r="AJ50" i="6"/>
  <c r="AN50" i="6"/>
  <c r="R50" i="6"/>
  <c r="AK50" i="6"/>
  <c r="S50" i="6"/>
  <c r="AL50" i="6"/>
  <c r="AH50" i="6"/>
  <c r="M50" i="6"/>
  <c r="T50" i="6"/>
  <c r="AM50" i="6"/>
  <c r="V50" i="6"/>
  <c r="AI50" i="6"/>
  <c r="U50" i="6"/>
  <c r="W50" i="6"/>
  <c r="Y50" i="6"/>
  <c r="AC50" i="6"/>
  <c r="AG50" i="6"/>
  <c r="H50" i="6"/>
  <c r="X50" i="6"/>
  <c r="L50" i="6"/>
  <c r="I52" i="6"/>
  <c r="I46" i="6"/>
  <c r="Y15" i="6"/>
  <c r="AJ44" i="6"/>
  <c r="T38" i="6"/>
  <c r="AN19" i="6"/>
  <c r="AA44" i="6"/>
  <c r="AK44" i="6"/>
  <c r="AJ27" i="6"/>
  <c r="AN44" i="6"/>
  <c r="X26" i="6"/>
  <c r="AL18" i="6"/>
  <c r="M18" i="6"/>
  <c r="S15" i="6"/>
  <c r="AA15" i="6"/>
  <c r="AC24" i="6"/>
  <c r="V24" i="6"/>
  <c r="W27" i="6"/>
  <c r="K27" i="6"/>
  <c r="AK38" i="6"/>
  <c r="S46" i="6"/>
  <c r="AF27" i="6"/>
  <c r="AL46" i="6"/>
  <c r="O19" i="6"/>
  <c r="AG46" i="6"/>
  <c r="Y46" i="6"/>
  <c r="AB34" i="6"/>
  <c r="N19" i="6"/>
  <c r="R44" i="6"/>
  <c r="AJ37" i="6"/>
  <c r="O72" i="6"/>
  <c r="Q72" i="6"/>
  <c r="R72" i="6"/>
  <c r="AB72" i="6"/>
  <c r="P72" i="6"/>
  <c r="V19" i="6"/>
  <c r="L38" i="6"/>
  <c r="Z18" i="6"/>
  <c r="Q24" i="6"/>
  <c r="R15" i="6"/>
  <c r="U24" i="6"/>
  <c r="AB24" i="6"/>
  <c r="AF15" i="6"/>
  <c r="K52" i="6"/>
  <c r="AG27" i="6"/>
  <c r="O46" i="6"/>
  <c r="L54" i="6"/>
  <c r="AN38" i="6"/>
  <c r="T52" i="6"/>
  <c r="N27" i="6"/>
  <c r="S52" i="6"/>
  <c r="AA52" i="6"/>
  <c r="AN43" i="6"/>
  <c r="AK27" i="6"/>
  <c r="AH72" i="6"/>
  <c r="X20" i="6"/>
  <c r="Q54" i="6"/>
  <c r="W18" i="6"/>
  <c r="X18" i="6"/>
  <c r="Y18" i="6"/>
  <c r="AH18" i="6"/>
  <c r="AK18" i="6"/>
  <c r="I18" i="6"/>
  <c r="T18" i="6"/>
  <c r="AB46" i="6"/>
  <c r="AA26" i="6"/>
  <c r="AH15" i="6"/>
  <c r="J52" i="6"/>
  <c r="H19" i="6"/>
  <c r="AG52" i="6"/>
  <c r="V38" i="6"/>
  <c r="P38" i="6"/>
  <c r="AB50" i="6"/>
  <c r="U21" i="6"/>
  <c r="S53" i="6"/>
  <c r="S44" i="6"/>
  <c r="AJ51" i="6"/>
  <c r="AG19" i="6"/>
  <c r="AI37" i="6"/>
  <c r="AA51" i="6"/>
  <c r="J18" i="6"/>
  <c r="AK26" i="6"/>
  <c r="Q15" i="6"/>
  <c r="AL15" i="6"/>
  <c r="AB15" i="6"/>
  <c r="J24" i="6"/>
  <c r="T24" i="6"/>
  <c r="AC52" i="6"/>
  <c r="X19" i="6"/>
  <c r="Z38" i="6"/>
  <c r="L46" i="6"/>
  <c r="AC38" i="6"/>
  <c r="AB38" i="6"/>
  <c r="AH38" i="6"/>
  <c r="AM46" i="6"/>
  <c r="AB37" i="6"/>
  <c r="AF37" i="6"/>
  <c r="U19" i="6"/>
  <c r="U37" i="6"/>
  <c r="AC18" i="6"/>
  <c r="AH44" i="6"/>
  <c r="AF54" i="6"/>
  <c r="P44" i="6"/>
  <c r="Z19" i="6"/>
  <c r="AN37" i="6"/>
  <c r="L70" i="6"/>
  <c r="AH70" i="6"/>
  <c r="M70" i="6"/>
  <c r="AI70" i="6"/>
  <c r="H70" i="6"/>
  <c r="N70" i="6"/>
  <c r="AJ70" i="6"/>
  <c r="R70" i="6"/>
  <c r="AL70" i="6"/>
  <c r="T70" i="6"/>
  <c r="O70" i="6"/>
  <c r="P70" i="6"/>
  <c r="I70" i="6"/>
  <c r="Q70" i="6"/>
  <c r="AK70" i="6"/>
  <c r="S70" i="6"/>
  <c r="J70" i="6"/>
  <c r="AG70" i="6"/>
  <c r="W70" i="6"/>
  <c r="X70" i="6"/>
  <c r="AM70" i="6"/>
  <c r="U70" i="6"/>
  <c r="AN70" i="6"/>
  <c r="V70" i="6"/>
  <c r="Y70" i="6"/>
  <c r="AC70" i="6"/>
  <c r="K70" i="6"/>
  <c r="U38" i="6"/>
  <c r="N26" i="6"/>
  <c r="Q26" i="6"/>
  <c r="AN26" i="6"/>
  <c r="R26" i="6"/>
  <c r="V26" i="6"/>
  <c r="W26" i="6"/>
  <c r="S26" i="6"/>
  <c r="T26" i="6"/>
  <c r="AJ26" i="6"/>
  <c r="AM26" i="6"/>
  <c r="AL26" i="6"/>
  <c r="V18" i="6"/>
  <c r="AH26" i="6"/>
  <c r="AI15" i="6"/>
  <c r="J38" i="6"/>
  <c r="O38" i="6"/>
  <c r="N46" i="6"/>
  <c r="J54" i="6"/>
  <c r="Z50" i="6"/>
  <c r="AA37" i="6"/>
  <c r="AA20" i="6"/>
  <c r="AG18" i="6"/>
  <c r="H72" i="6"/>
  <c r="AZ72" i="6" s="1"/>
  <c r="W52" i="6"/>
  <c r="Y19" i="6"/>
  <c r="AG35" i="6"/>
  <c r="AH35" i="6"/>
  <c r="AK35" i="6"/>
  <c r="U35" i="6"/>
  <c r="V35" i="6"/>
  <c r="W35" i="6"/>
  <c r="Y35" i="6"/>
  <c r="P35" i="6"/>
  <c r="S35" i="6"/>
  <c r="X35" i="6"/>
  <c r="BA11" i="6"/>
  <c r="BA10" i="6"/>
  <c r="BA61" i="6"/>
  <c r="BA22" i="6"/>
  <c r="BA63" i="6"/>
  <c r="BA6" i="6"/>
  <c r="BA23" i="6"/>
  <c r="BA58" i="6"/>
  <c r="BA71" i="6"/>
  <c r="BA40" i="6"/>
  <c r="BA9" i="6"/>
  <c r="BA39" i="6"/>
  <c r="BA55" i="6"/>
  <c r="BA47" i="6"/>
  <c r="BA13" i="6"/>
  <c r="BA30" i="6"/>
  <c r="BA68" i="6"/>
  <c r="Z64" i="6"/>
  <c r="AA64" i="6"/>
  <c r="AB64" i="6"/>
  <c r="AF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AC64" i="6"/>
  <c r="AG64" i="6"/>
  <c r="AH64" i="6"/>
  <c r="AI64" i="6"/>
  <c r="AJ64" i="6"/>
  <c r="AL64" i="6"/>
  <c r="AM64" i="6"/>
  <c r="AN64" i="6"/>
  <c r="Z62" i="6"/>
  <c r="AA62" i="6"/>
  <c r="AB62" i="6"/>
  <c r="AF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AC62" i="6"/>
  <c r="AG62" i="6"/>
  <c r="AH62" i="6"/>
  <c r="AI62" i="6"/>
  <c r="AJ62" i="6"/>
  <c r="AK62" i="6"/>
  <c r="AL62" i="6"/>
  <c r="AM62" i="6"/>
  <c r="AN62" i="6"/>
  <c r="Z29" i="6"/>
  <c r="AA29" i="6"/>
  <c r="AB29" i="6"/>
  <c r="AF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AC29" i="6"/>
  <c r="AG29" i="6"/>
  <c r="AH29" i="6"/>
  <c r="AI29" i="6"/>
  <c r="AJ29" i="6"/>
  <c r="AK29" i="6"/>
  <c r="AL29" i="6"/>
  <c r="AM29" i="6"/>
  <c r="AN29" i="6"/>
  <c r="Z8" i="6"/>
  <c r="AA8" i="6"/>
  <c r="AB8" i="6"/>
  <c r="AF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AC8" i="6"/>
  <c r="AG8" i="6"/>
  <c r="AH8" i="6"/>
  <c r="AI8" i="6"/>
  <c r="AJ8" i="6"/>
  <c r="AK8" i="6"/>
  <c r="AL8" i="6"/>
  <c r="AM8" i="6"/>
  <c r="AN8" i="6"/>
  <c r="CA39" i="9"/>
  <c r="BB40" i="9"/>
  <c r="BB149" i="9" s="1"/>
  <c r="BB150" i="9" s="1"/>
  <c r="BB151" i="9" s="1"/>
  <c r="CA66" i="9"/>
  <c r="CA82" i="9"/>
  <c r="CA94" i="9"/>
  <c r="C95" i="9"/>
  <c r="C99" i="9"/>
  <c r="CA98" i="9"/>
  <c r="CA102" i="9"/>
  <c r="C104" i="9"/>
  <c r="C108" i="9"/>
  <c r="CA106" i="9"/>
  <c r="CA122" i="9"/>
  <c r="C124" i="9"/>
  <c r="C133" i="9"/>
  <c r="CA126" i="9"/>
  <c r="BZ165" i="1"/>
  <c r="CB179" i="1" s="1"/>
  <c r="B169" i="1"/>
  <c r="BZ162" i="1"/>
  <c r="CB162" i="1" s="1"/>
  <c r="CC162" i="1" s="1"/>
  <c r="AF17" i="3"/>
  <c r="BZ148" i="1"/>
  <c r="BY147" i="1"/>
  <c r="BX147" i="1"/>
  <c r="BW147" i="1"/>
  <c r="BV147" i="1"/>
  <c r="BU147" i="1"/>
  <c r="BT147" i="1"/>
  <c r="BS147" i="1"/>
  <c r="BR147" i="1"/>
  <c r="BQ147" i="1"/>
  <c r="BP147" i="1"/>
  <c r="BO147" i="1"/>
  <c r="BN147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BZ146" i="1"/>
  <c r="BZ147" i="1" s="1"/>
  <c r="BY143" i="1"/>
  <c r="BY144" i="1" s="1"/>
  <c r="BX143" i="1"/>
  <c r="BX144" i="1" s="1"/>
  <c r="BW143" i="1"/>
  <c r="BW144" i="1" s="1"/>
  <c r="BV143" i="1"/>
  <c r="BV144" i="1" s="1"/>
  <c r="BU143" i="1"/>
  <c r="BU144" i="1" s="1"/>
  <c r="BT143" i="1"/>
  <c r="BT144" i="1" s="1"/>
  <c r="BS143" i="1"/>
  <c r="BS144" i="1" s="1"/>
  <c r="BR143" i="1"/>
  <c r="BR144" i="1" s="1"/>
  <c r="BQ143" i="1"/>
  <c r="BQ144" i="1" s="1"/>
  <c r="BP143" i="1"/>
  <c r="BP144" i="1" s="1"/>
  <c r="BO143" i="1"/>
  <c r="BO144" i="1" s="1"/>
  <c r="BN143" i="1"/>
  <c r="BN144" i="1" s="1"/>
  <c r="BM143" i="1"/>
  <c r="BM144" i="1" s="1"/>
  <c r="BL143" i="1"/>
  <c r="BL144" i="1" s="1"/>
  <c r="BK143" i="1"/>
  <c r="BK144" i="1" s="1"/>
  <c r="BJ143" i="1"/>
  <c r="BJ144" i="1" s="1"/>
  <c r="BI143" i="1"/>
  <c r="BI144" i="1" s="1"/>
  <c r="BH143" i="1"/>
  <c r="BH144" i="1" s="1"/>
  <c r="BG143" i="1"/>
  <c r="BG144" i="1" s="1"/>
  <c r="BF143" i="1"/>
  <c r="BF144" i="1" s="1"/>
  <c r="BE143" i="1"/>
  <c r="BE144" i="1" s="1"/>
  <c r="BD143" i="1"/>
  <c r="BD144" i="1" s="1"/>
  <c r="BC143" i="1"/>
  <c r="BC144" i="1" s="1"/>
  <c r="BB143" i="1"/>
  <c r="BB144" i="1" s="1"/>
  <c r="BA143" i="1"/>
  <c r="BA144" i="1" s="1"/>
  <c r="AZ143" i="1"/>
  <c r="AZ144" i="1" s="1"/>
  <c r="AY143" i="1"/>
  <c r="AY144" i="1" s="1"/>
  <c r="AX143" i="1"/>
  <c r="AX144" i="1" s="1"/>
  <c r="AW143" i="1"/>
  <c r="AW144" i="1" s="1"/>
  <c r="AV143" i="1"/>
  <c r="AV144" i="1" s="1"/>
  <c r="AU143" i="1"/>
  <c r="AU144" i="1" s="1"/>
  <c r="AT143" i="1"/>
  <c r="AT144" i="1" s="1"/>
  <c r="AS143" i="1"/>
  <c r="AS144" i="1" s="1"/>
  <c r="AR143" i="1"/>
  <c r="AR144" i="1" s="1"/>
  <c r="AQ143" i="1"/>
  <c r="AQ144" i="1" s="1"/>
  <c r="AP143" i="1"/>
  <c r="AP144" i="1" s="1"/>
  <c r="AO143" i="1"/>
  <c r="AO144" i="1" s="1"/>
  <c r="AN143" i="1"/>
  <c r="AN144" i="1" s="1"/>
  <c r="AM143" i="1"/>
  <c r="AM144" i="1" s="1"/>
  <c r="AL143" i="1"/>
  <c r="AL144" i="1" s="1"/>
  <c r="AK143" i="1"/>
  <c r="AK144" i="1" s="1"/>
  <c r="AJ143" i="1"/>
  <c r="AJ144" i="1" s="1"/>
  <c r="AI143" i="1"/>
  <c r="AI144" i="1" s="1"/>
  <c r="AH143" i="1"/>
  <c r="AH144" i="1" s="1"/>
  <c r="AG143" i="1"/>
  <c r="AG144" i="1" s="1"/>
  <c r="AF143" i="1"/>
  <c r="AF144" i="1" s="1"/>
  <c r="AE143" i="1"/>
  <c r="AE144" i="1" s="1"/>
  <c r="AD143" i="1"/>
  <c r="AD144" i="1" s="1"/>
  <c r="AC143" i="1"/>
  <c r="AC144" i="1" s="1"/>
  <c r="AB143" i="1"/>
  <c r="AB144" i="1" s="1"/>
  <c r="AA143" i="1"/>
  <c r="AA144" i="1" s="1"/>
  <c r="Z143" i="1"/>
  <c r="Z144" i="1" s="1"/>
  <c r="Y143" i="1"/>
  <c r="Y144" i="1" s="1"/>
  <c r="X143" i="1"/>
  <c r="X144" i="1" s="1"/>
  <c r="W143" i="1"/>
  <c r="W144" i="1" s="1"/>
  <c r="V143" i="1"/>
  <c r="V144" i="1" s="1"/>
  <c r="U143" i="1"/>
  <c r="U144" i="1" s="1"/>
  <c r="T143" i="1"/>
  <c r="T144" i="1" s="1"/>
  <c r="S143" i="1"/>
  <c r="S144" i="1" s="1"/>
  <c r="R143" i="1"/>
  <c r="R144" i="1" s="1"/>
  <c r="Q143" i="1"/>
  <c r="Q144" i="1" s="1"/>
  <c r="P143" i="1"/>
  <c r="P144" i="1" s="1"/>
  <c r="O143" i="1"/>
  <c r="O144" i="1" s="1"/>
  <c r="N143" i="1"/>
  <c r="N144" i="1" s="1"/>
  <c r="M143" i="1"/>
  <c r="M144" i="1" s="1"/>
  <c r="L143" i="1"/>
  <c r="L144" i="1" s="1"/>
  <c r="K143" i="1"/>
  <c r="K144" i="1" s="1"/>
  <c r="J143" i="1"/>
  <c r="J144" i="1" s="1"/>
  <c r="I143" i="1"/>
  <c r="I144" i="1" s="1"/>
  <c r="H143" i="1"/>
  <c r="H144" i="1" s="1"/>
  <c r="G143" i="1"/>
  <c r="G144" i="1" s="1"/>
  <c r="F143" i="1"/>
  <c r="F144" i="1" s="1"/>
  <c r="E143" i="1"/>
  <c r="E144" i="1" s="1"/>
  <c r="D143" i="1"/>
  <c r="D144" i="1" s="1"/>
  <c r="C143" i="1"/>
  <c r="C144" i="1" s="1"/>
  <c r="B143" i="1"/>
  <c r="B144" i="1" s="1"/>
  <c r="BZ142" i="1"/>
  <c r="BZ143" i="1" s="1"/>
  <c r="BZ140" i="1"/>
  <c r="BZ139" i="1"/>
  <c r="BZ137" i="1"/>
  <c r="BZ136" i="1"/>
  <c r="BZ135" i="1"/>
  <c r="BZ134" i="1"/>
  <c r="BY133" i="1"/>
  <c r="BX133" i="1"/>
  <c r="BW133" i="1"/>
  <c r="BV133" i="1"/>
  <c r="BU133" i="1"/>
  <c r="BT133" i="1"/>
  <c r="BS133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BZ132" i="1"/>
  <c r="BZ131" i="1"/>
  <c r="BZ130" i="1"/>
  <c r="BZ129" i="1"/>
  <c r="BZ128" i="1"/>
  <c r="BZ127" i="1"/>
  <c r="BZ126" i="1"/>
  <c r="BY124" i="1"/>
  <c r="BX124" i="1"/>
  <c r="BW124" i="1"/>
  <c r="BV124" i="1"/>
  <c r="BU124" i="1"/>
  <c r="BT124" i="1"/>
  <c r="BS124" i="1"/>
  <c r="BR124" i="1"/>
  <c r="BQ124" i="1"/>
  <c r="BP124" i="1"/>
  <c r="BO124" i="1"/>
  <c r="BN124" i="1"/>
  <c r="BM124" i="1"/>
  <c r="BL124" i="1"/>
  <c r="BK124" i="1"/>
  <c r="BJ124" i="1"/>
  <c r="BI124" i="1"/>
  <c r="BH124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BZ123" i="1"/>
  <c r="BZ122" i="1"/>
  <c r="BZ121" i="1"/>
  <c r="BZ124" i="1" s="1"/>
  <c r="BZ119" i="1"/>
  <c r="BZ118" i="1"/>
  <c r="BY117" i="1"/>
  <c r="BX117" i="1"/>
  <c r="BW117" i="1"/>
  <c r="BV117" i="1"/>
  <c r="BU117" i="1"/>
  <c r="BT117" i="1"/>
  <c r="BS117" i="1"/>
  <c r="BR117" i="1"/>
  <c r="BQ117" i="1"/>
  <c r="BP117" i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BZ116" i="1"/>
  <c r="BZ117" i="1" s="1"/>
  <c r="BY114" i="1"/>
  <c r="BX114" i="1"/>
  <c r="BW114" i="1"/>
  <c r="BV114" i="1"/>
  <c r="BU114" i="1"/>
  <c r="BT114" i="1"/>
  <c r="BS114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BZ113" i="1"/>
  <c r="BZ112" i="1"/>
  <c r="BZ111" i="1"/>
  <c r="BZ110" i="1"/>
  <c r="BZ114" i="1" s="1"/>
  <c r="BY108" i="1"/>
  <c r="BX108" i="1"/>
  <c r="BW108" i="1"/>
  <c r="BV108" i="1"/>
  <c r="BU108" i="1"/>
  <c r="BT108" i="1"/>
  <c r="BS108" i="1"/>
  <c r="BR108" i="1"/>
  <c r="BQ108" i="1"/>
  <c r="BP108" i="1"/>
  <c r="BO108" i="1"/>
  <c r="BN108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BZ107" i="1"/>
  <c r="BZ106" i="1"/>
  <c r="BZ108" i="1" s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BZ103" i="1"/>
  <c r="BZ102" i="1"/>
  <c r="BZ101" i="1"/>
  <c r="BZ104" i="1" s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BZ98" i="1"/>
  <c r="BZ99" i="1" s="1"/>
  <c r="BZ96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BZ94" i="1"/>
  <c r="BZ93" i="1"/>
  <c r="BZ95" i="1" s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BZ90" i="1"/>
  <c r="BZ89" i="1"/>
  <c r="BZ91" i="1" s="1"/>
  <c r="BZ87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BZ85" i="1"/>
  <c r="BZ84" i="1"/>
  <c r="BZ86" i="1" s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BZ81" i="1"/>
  <c r="BZ80" i="1"/>
  <c r="BZ79" i="1"/>
  <c r="BZ82" i="1" s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BZ76" i="1"/>
  <c r="BZ75" i="1"/>
  <c r="BZ74" i="1"/>
  <c r="BZ73" i="1"/>
  <c r="BZ72" i="1"/>
  <c r="BZ77" i="1" s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BZ69" i="1"/>
  <c r="BZ68" i="1"/>
  <c r="BZ70" i="1" s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BZ65" i="1"/>
  <c r="BZ64" i="1"/>
  <c r="BZ63" i="1"/>
  <c r="BZ66" i="1" s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BZ60" i="1"/>
  <c r="BZ61" i="1" s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BZ57" i="1"/>
  <c r="BZ58" i="1" s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BZ54" i="1"/>
  <c r="BZ53" i="1"/>
  <c r="BZ52" i="1"/>
  <c r="BZ51" i="1"/>
  <c r="BZ50" i="1"/>
  <c r="BZ49" i="1"/>
  <c r="BZ48" i="1"/>
  <c r="BZ47" i="1"/>
  <c r="BZ46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BZ43" i="1"/>
  <c r="BZ42" i="1"/>
  <c r="BZ44" i="1" s="1"/>
  <c r="BY40" i="1"/>
  <c r="BY149" i="1" s="1"/>
  <c r="BX40" i="1"/>
  <c r="BX149" i="1" s="1"/>
  <c r="BW40" i="1"/>
  <c r="BV40" i="1"/>
  <c r="BU40" i="1"/>
  <c r="BU149" i="1" s="1"/>
  <c r="BT40" i="1"/>
  <c r="BT149" i="1" s="1"/>
  <c r="BS40" i="1"/>
  <c r="BS149" i="1" s="1"/>
  <c r="BR40" i="1"/>
  <c r="BR149" i="1" s="1"/>
  <c r="BQ40" i="1"/>
  <c r="BQ149" i="1" s="1"/>
  <c r="BP40" i="1"/>
  <c r="BP149" i="1" s="1"/>
  <c r="BO40" i="1"/>
  <c r="BN40" i="1"/>
  <c r="BM40" i="1"/>
  <c r="BM149" i="1" s="1"/>
  <c r="BL40" i="1"/>
  <c r="BL149" i="1" s="1"/>
  <c r="BK40" i="1"/>
  <c r="BK149" i="1" s="1"/>
  <c r="BJ40" i="1"/>
  <c r="BJ149" i="1" s="1"/>
  <c r="BI40" i="1"/>
  <c r="BI149" i="1" s="1"/>
  <c r="BH40" i="1"/>
  <c r="BH149" i="1" s="1"/>
  <c r="BG40" i="1"/>
  <c r="BF40" i="1"/>
  <c r="BE40" i="1"/>
  <c r="BE149" i="1" s="1"/>
  <c r="BD40" i="1"/>
  <c r="BD149" i="1" s="1"/>
  <c r="BC40" i="1"/>
  <c r="BC149" i="1" s="1"/>
  <c r="BB40" i="1"/>
  <c r="BB149" i="1" s="1"/>
  <c r="BA40" i="1"/>
  <c r="BA149" i="1" s="1"/>
  <c r="AZ40" i="1"/>
  <c r="AZ149" i="1" s="1"/>
  <c r="AY40" i="1"/>
  <c r="AX40" i="1"/>
  <c r="AW40" i="1"/>
  <c r="AW149" i="1" s="1"/>
  <c r="AV40" i="1"/>
  <c r="AV149" i="1" s="1"/>
  <c r="AU40" i="1"/>
  <c r="AU149" i="1" s="1"/>
  <c r="AT40" i="1"/>
  <c r="AT149" i="1" s="1"/>
  <c r="AS40" i="1"/>
  <c r="AS149" i="1" s="1"/>
  <c r="AR40" i="1"/>
  <c r="AR149" i="1" s="1"/>
  <c r="AQ40" i="1"/>
  <c r="AP40" i="1"/>
  <c r="AO40" i="1"/>
  <c r="AO149" i="1" s="1"/>
  <c r="AN40" i="1"/>
  <c r="AN149" i="1" s="1"/>
  <c r="AM40" i="1"/>
  <c r="AM149" i="1" s="1"/>
  <c r="AL40" i="1"/>
  <c r="AL149" i="1" s="1"/>
  <c r="AK40" i="1"/>
  <c r="AK149" i="1" s="1"/>
  <c r="AJ40" i="1"/>
  <c r="AJ149" i="1" s="1"/>
  <c r="AI40" i="1"/>
  <c r="AH40" i="1"/>
  <c r="AG40" i="1"/>
  <c r="AG149" i="1" s="1"/>
  <c r="AF40" i="1"/>
  <c r="AF149" i="1" s="1"/>
  <c r="AE40" i="1"/>
  <c r="AE149" i="1" s="1"/>
  <c r="AD40" i="1"/>
  <c r="AD149" i="1" s="1"/>
  <c r="AC40" i="1"/>
  <c r="AC149" i="1" s="1"/>
  <c r="AB40" i="1"/>
  <c r="AB149" i="1" s="1"/>
  <c r="AA40" i="1"/>
  <c r="Z40" i="1"/>
  <c r="Y40" i="1"/>
  <c r="Y149" i="1" s="1"/>
  <c r="X40" i="1"/>
  <c r="X149" i="1" s="1"/>
  <c r="W40" i="1"/>
  <c r="W149" i="1" s="1"/>
  <c r="V40" i="1"/>
  <c r="V149" i="1" s="1"/>
  <c r="U40" i="1"/>
  <c r="U149" i="1" s="1"/>
  <c r="T40" i="1"/>
  <c r="T149" i="1" s="1"/>
  <c r="S40" i="1"/>
  <c r="R40" i="1"/>
  <c r="Q40" i="1"/>
  <c r="Q149" i="1" s="1"/>
  <c r="P40" i="1"/>
  <c r="P149" i="1" s="1"/>
  <c r="O40" i="1"/>
  <c r="O149" i="1" s="1"/>
  <c r="N40" i="1"/>
  <c r="N149" i="1" s="1"/>
  <c r="M40" i="1"/>
  <c r="M149" i="1" s="1"/>
  <c r="L40" i="1"/>
  <c r="L149" i="1" s="1"/>
  <c r="K40" i="1"/>
  <c r="J40" i="1"/>
  <c r="I40" i="1"/>
  <c r="I149" i="1" s="1"/>
  <c r="H40" i="1"/>
  <c r="H149" i="1" s="1"/>
  <c r="G40" i="1"/>
  <c r="G149" i="1" s="1"/>
  <c r="F40" i="1"/>
  <c r="F149" i="1" s="1"/>
  <c r="E40" i="1"/>
  <c r="E149" i="1" s="1"/>
  <c r="D40" i="1"/>
  <c r="D149" i="1" s="1"/>
  <c r="C40" i="1"/>
  <c r="B40" i="1"/>
  <c r="BZ39" i="1"/>
  <c r="BZ38" i="1"/>
  <c r="BZ37" i="1"/>
  <c r="BZ40" i="1" s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BZ31" i="1"/>
  <c r="BZ30" i="1"/>
  <c r="BZ32" i="1" s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BZ27" i="1"/>
  <c r="BZ26" i="1"/>
  <c r="BZ25" i="1"/>
  <c r="BZ28" i="1" s="1"/>
  <c r="BZ23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BZ21" i="1"/>
  <c r="BZ20" i="1"/>
  <c r="BZ19" i="1"/>
  <c r="BZ22" i="1" s="1"/>
  <c r="BY17" i="1"/>
  <c r="BY33" i="1" s="1"/>
  <c r="BY34" i="1" s="1"/>
  <c r="BY150" i="1" s="1"/>
  <c r="BY151" i="1" s="1"/>
  <c r="BX17" i="1"/>
  <c r="BX33" i="1" s="1"/>
  <c r="BX34" i="1" s="1"/>
  <c r="BX150" i="1" s="1"/>
  <c r="BX151" i="1" s="1"/>
  <c r="BW17" i="1"/>
  <c r="BW33" i="1" s="1"/>
  <c r="BW34" i="1" s="1"/>
  <c r="BV17" i="1"/>
  <c r="BV33" i="1" s="1"/>
  <c r="BV34" i="1" s="1"/>
  <c r="BU17" i="1"/>
  <c r="BU33" i="1" s="1"/>
  <c r="BU34" i="1" s="1"/>
  <c r="BT17" i="1"/>
  <c r="BT33" i="1" s="1"/>
  <c r="BT34" i="1" s="1"/>
  <c r="BS17" i="1"/>
  <c r="BS33" i="1" s="1"/>
  <c r="BS34" i="1" s="1"/>
  <c r="BS150" i="1" s="1"/>
  <c r="BS151" i="1" s="1"/>
  <c r="BR17" i="1"/>
  <c r="BR33" i="1" s="1"/>
  <c r="BR34" i="1" s="1"/>
  <c r="BQ17" i="1"/>
  <c r="BQ33" i="1" s="1"/>
  <c r="BQ34" i="1" s="1"/>
  <c r="BQ150" i="1" s="1"/>
  <c r="BQ151" i="1" s="1"/>
  <c r="BP17" i="1"/>
  <c r="BP33" i="1" s="1"/>
  <c r="BP34" i="1" s="1"/>
  <c r="BP150" i="1" s="1"/>
  <c r="BP151" i="1" s="1"/>
  <c r="BO17" i="1"/>
  <c r="BO33" i="1" s="1"/>
  <c r="BO34" i="1" s="1"/>
  <c r="BN17" i="1"/>
  <c r="BN33" i="1" s="1"/>
  <c r="BN34" i="1" s="1"/>
  <c r="BM17" i="1"/>
  <c r="BM33" i="1" s="1"/>
  <c r="BM34" i="1" s="1"/>
  <c r="BL17" i="1"/>
  <c r="BL33" i="1" s="1"/>
  <c r="BL34" i="1" s="1"/>
  <c r="BK17" i="1"/>
  <c r="BK33" i="1" s="1"/>
  <c r="BK34" i="1" s="1"/>
  <c r="BK150" i="1" s="1"/>
  <c r="BK151" i="1" s="1"/>
  <c r="BJ17" i="1"/>
  <c r="BJ33" i="1" s="1"/>
  <c r="BJ34" i="1" s="1"/>
  <c r="BJ150" i="1" s="1"/>
  <c r="BJ151" i="1" s="1"/>
  <c r="BI17" i="1"/>
  <c r="BI33" i="1" s="1"/>
  <c r="BI34" i="1" s="1"/>
  <c r="BI150" i="1" s="1"/>
  <c r="BI151" i="1" s="1"/>
  <c r="BH17" i="1"/>
  <c r="BH33" i="1" s="1"/>
  <c r="BH34" i="1" s="1"/>
  <c r="BH150" i="1" s="1"/>
  <c r="BH151" i="1" s="1"/>
  <c r="BG17" i="1"/>
  <c r="BG33" i="1" s="1"/>
  <c r="BG34" i="1" s="1"/>
  <c r="BF17" i="1"/>
  <c r="BF33" i="1" s="1"/>
  <c r="BF34" i="1" s="1"/>
  <c r="BE17" i="1"/>
  <c r="BE33" i="1" s="1"/>
  <c r="BE34" i="1" s="1"/>
  <c r="BD17" i="1"/>
  <c r="BD33" i="1" s="1"/>
  <c r="BD34" i="1" s="1"/>
  <c r="BD150" i="1" s="1"/>
  <c r="BD151" i="1" s="1"/>
  <c r="BC17" i="1"/>
  <c r="BC33" i="1" s="1"/>
  <c r="BC34" i="1" s="1"/>
  <c r="BC150" i="1" s="1"/>
  <c r="BC151" i="1" s="1"/>
  <c r="BB17" i="1"/>
  <c r="BB33" i="1" s="1"/>
  <c r="BB34" i="1" s="1"/>
  <c r="BB150" i="1" s="1"/>
  <c r="BB151" i="1" s="1"/>
  <c r="BA17" i="1"/>
  <c r="BA33" i="1" s="1"/>
  <c r="BA34" i="1" s="1"/>
  <c r="BA150" i="1" s="1"/>
  <c r="BA151" i="1" s="1"/>
  <c r="AZ17" i="1"/>
  <c r="AZ33" i="1" s="1"/>
  <c r="AZ34" i="1" s="1"/>
  <c r="AZ150" i="1" s="1"/>
  <c r="AZ151" i="1" s="1"/>
  <c r="AY17" i="1"/>
  <c r="AY33" i="1" s="1"/>
  <c r="AY34" i="1" s="1"/>
  <c r="AX17" i="1"/>
  <c r="AX33" i="1" s="1"/>
  <c r="AX34" i="1" s="1"/>
  <c r="AW17" i="1"/>
  <c r="AW33" i="1" s="1"/>
  <c r="AW34" i="1" s="1"/>
  <c r="AV17" i="1"/>
  <c r="AV33" i="1" s="1"/>
  <c r="AV34" i="1" s="1"/>
  <c r="AU17" i="1"/>
  <c r="AU33" i="1" s="1"/>
  <c r="AU34" i="1" s="1"/>
  <c r="AU150" i="1" s="1"/>
  <c r="AU151" i="1" s="1"/>
  <c r="AT17" i="1"/>
  <c r="AT33" i="1" s="1"/>
  <c r="AT34" i="1" s="1"/>
  <c r="AS17" i="1"/>
  <c r="AS33" i="1" s="1"/>
  <c r="AS34" i="1" s="1"/>
  <c r="AS150" i="1" s="1"/>
  <c r="AS151" i="1" s="1"/>
  <c r="AR17" i="1"/>
  <c r="AR33" i="1" s="1"/>
  <c r="AR34" i="1" s="1"/>
  <c r="AR150" i="1" s="1"/>
  <c r="AR151" i="1" s="1"/>
  <c r="AQ17" i="1"/>
  <c r="AQ33" i="1" s="1"/>
  <c r="AQ34" i="1" s="1"/>
  <c r="AP17" i="1"/>
  <c r="AP33" i="1" s="1"/>
  <c r="AP34" i="1" s="1"/>
  <c r="AO17" i="1"/>
  <c r="AO33" i="1" s="1"/>
  <c r="AO34" i="1" s="1"/>
  <c r="AN17" i="1"/>
  <c r="AN33" i="1" s="1"/>
  <c r="AN34" i="1" s="1"/>
  <c r="AM17" i="1"/>
  <c r="AM33" i="1" s="1"/>
  <c r="AM34" i="1" s="1"/>
  <c r="AM150" i="1" s="1"/>
  <c r="AM151" i="1" s="1"/>
  <c r="AL17" i="1"/>
  <c r="AL33" i="1" s="1"/>
  <c r="AL34" i="1" s="1"/>
  <c r="AL150" i="1" s="1"/>
  <c r="AL151" i="1" s="1"/>
  <c r="AK17" i="1"/>
  <c r="AK33" i="1" s="1"/>
  <c r="AK34" i="1" s="1"/>
  <c r="AK150" i="1" s="1"/>
  <c r="AK151" i="1" s="1"/>
  <c r="AJ17" i="1"/>
  <c r="AJ33" i="1" s="1"/>
  <c r="AJ34" i="1" s="1"/>
  <c r="AJ150" i="1" s="1"/>
  <c r="AJ151" i="1" s="1"/>
  <c r="AI17" i="1"/>
  <c r="AI33" i="1" s="1"/>
  <c r="AI34" i="1" s="1"/>
  <c r="AH17" i="1"/>
  <c r="AH33" i="1" s="1"/>
  <c r="AH34" i="1" s="1"/>
  <c r="AG17" i="1"/>
  <c r="AG33" i="1" s="1"/>
  <c r="AG34" i="1" s="1"/>
  <c r="AF17" i="1"/>
  <c r="AF33" i="1" s="1"/>
  <c r="AF34" i="1" s="1"/>
  <c r="AE17" i="1"/>
  <c r="AE33" i="1" s="1"/>
  <c r="AE34" i="1" s="1"/>
  <c r="AE150" i="1" s="1"/>
  <c r="AE151" i="1" s="1"/>
  <c r="AD17" i="1"/>
  <c r="AD33" i="1" s="1"/>
  <c r="AD34" i="1" s="1"/>
  <c r="AC17" i="1"/>
  <c r="AC33" i="1" s="1"/>
  <c r="AC34" i="1" s="1"/>
  <c r="AC150" i="1" s="1"/>
  <c r="AC151" i="1" s="1"/>
  <c r="AB17" i="1"/>
  <c r="AB33" i="1" s="1"/>
  <c r="AB34" i="1" s="1"/>
  <c r="AB150" i="1" s="1"/>
  <c r="AB151" i="1" s="1"/>
  <c r="AA17" i="1"/>
  <c r="AA33" i="1" s="1"/>
  <c r="AA34" i="1" s="1"/>
  <c r="Z17" i="1"/>
  <c r="Z33" i="1" s="1"/>
  <c r="Z34" i="1" s="1"/>
  <c r="Y17" i="1"/>
  <c r="Y33" i="1" s="1"/>
  <c r="Y34" i="1" s="1"/>
  <c r="X17" i="1"/>
  <c r="X33" i="1" s="1"/>
  <c r="X34" i="1" s="1"/>
  <c r="W17" i="1"/>
  <c r="W33" i="1" s="1"/>
  <c r="W34" i="1" s="1"/>
  <c r="W150" i="1" s="1"/>
  <c r="W151" i="1" s="1"/>
  <c r="V17" i="1"/>
  <c r="V33" i="1" s="1"/>
  <c r="V34" i="1" s="1"/>
  <c r="U17" i="1"/>
  <c r="U33" i="1" s="1"/>
  <c r="U34" i="1" s="1"/>
  <c r="U150" i="1" s="1"/>
  <c r="U151" i="1" s="1"/>
  <c r="T17" i="1"/>
  <c r="T33" i="1" s="1"/>
  <c r="T34" i="1" s="1"/>
  <c r="T150" i="1" s="1"/>
  <c r="T151" i="1" s="1"/>
  <c r="S17" i="1"/>
  <c r="S33" i="1" s="1"/>
  <c r="S34" i="1" s="1"/>
  <c r="R17" i="1"/>
  <c r="R33" i="1" s="1"/>
  <c r="R34" i="1" s="1"/>
  <c r="Q17" i="1"/>
  <c r="Q33" i="1" s="1"/>
  <c r="Q34" i="1" s="1"/>
  <c r="P17" i="1"/>
  <c r="P33" i="1" s="1"/>
  <c r="P34" i="1" s="1"/>
  <c r="O17" i="1"/>
  <c r="O33" i="1" s="1"/>
  <c r="O34" i="1" s="1"/>
  <c r="O150" i="1" s="1"/>
  <c r="O151" i="1" s="1"/>
  <c r="N17" i="1"/>
  <c r="N33" i="1" s="1"/>
  <c r="N34" i="1" s="1"/>
  <c r="M17" i="1"/>
  <c r="M33" i="1" s="1"/>
  <c r="M34" i="1" s="1"/>
  <c r="M150" i="1" s="1"/>
  <c r="M151" i="1" s="1"/>
  <c r="L17" i="1"/>
  <c r="L33" i="1" s="1"/>
  <c r="L34" i="1" s="1"/>
  <c r="L150" i="1" s="1"/>
  <c r="L151" i="1" s="1"/>
  <c r="K17" i="1"/>
  <c r="K33" i="1" s="1"/>
  <c r="K34" i="1" s="1"/>
  <c r="J17" i="1"/>
  <c r="J33" i="1" s="1"/>
  <c r="J34" i="1" s="1"/>
  <c r="I17" i="1"/>
  <c r="I33" i="1" s="1"/>
  <c r="I34" i="1" s="1"/>
  <c r="H17" i="1"/>
  <c r="H33" i="1" s="1"/>
  <c r="H34" i="1" s="1"/>
  <c r="G17" i="1"/>
  <c r="G33" i="1" s="1"/>
  <c r="G34" i="1" s="1"/>
  <c r="G150" i="1" s="1"/>
  <c r="G151" i="1" s="1"/>
  <c r="F17" i="1"/>
  <c r="F33" i="1" s="1"/>
  <c r="F34" i="1" s="1"/>
  <c r="E17" i="1"/>
  <c r="E33" i="1" s="1"/>
  <c r="E34" i="1" s="1"/>
  <c r="E150" i="1" s="1"/>
  <c r="E151" i="1" s="1"/>
  <c r="D17" i="1"/>
  <c r="D33" i="1" s="1"/>
  <c r="D34" i="1" s="1"/>
  <c r="D150" i="1" s="1"/>
  <c r="D151" i="1" s="1"/>
  <c r="C17" i="1"/>
  <c r="C33" i="1" s="1"/>
  <c r="C34" i="1" s="1"/>
  <c r="B17" i="1"/>
  <c r="B33" i="1" s="1"/>
  <c r="B34" i="1" s="1"/>
  <c r="BZ16" i="1"/>
  <c r="BZ15" i="1"/>
  <c r="BZ14" i="1"/>
  <c r="BZ13" i="1"/>
  <c r="BZ12" i="1"/>
  <c r="BZ17" i="1" s="1"/>
  <c r="BZ33" i="1" s="1"/>
  <c r="BZ34" i="1" s="1"/>
  <c r="AZ29" i="6" l="1"/>
  <c r="AZ64" i="6"/>
  <c r="AZ70" i="6"/>
  <c r="AZ46" i="6"/>
  <c r="AZ38" i="6"/>
  <c r="AZ18" i="6"/>
  <c r="AZ42" i="6"/>
  <c r="AZ26" i="6"/>
  <c r="AZ24" i="6"/>
  <c r="AZ57" i="6"/>
  <c r="AZ34" i="6"/>
  <c r="AZ44" i="6"/>
  <c r="AZ17" i="6"/>
  <c r="AZ53" i="6"/>
  <c r="AZ35" i="6"/>
  <c r="AZ54" i="6"/>
  <c r="AZ16" i="6"/>
  <c r="AZ21" i="6"/>
  <c r="AZ15" i="6"/>
  <c r="AZ59" i="6"/>
  <c r="AZ28" i="6"/>
  <c r="AZ60" i="6"/>
  <c r="AZ51" i="6"/>
  <c r="AZ31" i="6"/>
  <c r="AZ43" i="6"/>
  <c r="AZ66" i="6"/>
  <c r="AZ65" i="6"/>
  <c r="AZ36" i="6"/>
  <c r="AZ49" i="6"/>
  <c r="AZ20" i="6"/>
  <c r="AZ67" i="6"/>
  <c r="AZ45" i="6"/>
  <c r="AZ27" i="6"/>
  <c r="AZ69" i="6"/>
  <c r="AZ37" i="6"/>
  <c r="AZ50" i="6"/>
  <c r="AZ19" i="6"/>
  <c r="AZ8" i="6"/>
  <c r="AZ52" i="6"/>
  <c r="AZ32" i="6"/>
  <c r="AZ62" i="6"/>
  <c r="BA69" i="6"/>
  <c r="BA49" i="6"/>
  <c r="AV12" i="6"/>
  <c r="AQ12" i="6"/>
  <c r="AS12" i="6"/>
  <c r="AR12" i="6"/>
  <c r="AO12" i="6"/>
  <c r="AW12" i="6"/>
  <c r="AX12" i="6"/>
  <c r="AT12" i="6"/>
  <c r="AU12" i="6"/>
  <c r="AP12" i="6"/>
  <c r="BA57" i="6"/>
  <c r="AD12" i="6"/>
  <c r="AE12" i="6"/>
  <c r="BA67" i="6"/>
  <c r="BA28" i="6"/>
  <c r="BA20" i="6"/>
  <c r="BA60" i="6"/>
  <c r="BA45" i="6"/>
  <c r="BA36" i="6"/>
  <c r="P12" i="6"/>
  <c r="L12" i="6"/>
  <c r="M12" i="6"/>
  <c r="N12" i="6"/>
  <c r="O12" i="6"/>
  <c r="AI12" i="6"/>
  <c r="X12" i="6"/>
  <c r="AG12" i="6"/>
  <c r="AH12" i="6"/>
  <c r="K12" i="6"/>
  <c r="AF12" i="6"/>
  <c r="Y12" i="6"/>
  <c r="AL12" i="6"/>
  <c r="AC12" i="6"/>
  <c r="I12" i="6"/>
  <c r="S12" i="6"/>
  <c r="W12" i="6"/>
  <c r="AB12" i="6"/>
  <c r="AK12" i="6"/>
  <c r="V12" i="6"/>
  <c r="R12" i="6"/>
  <c r="Q12" i="6"/>
  <c r="AA12" i="6"/>
  <c r="Z12" i="6"/>
  <c r="H12" i="6"/>
  <c r="J12" i="6"/>
  <c r="AM12" i="6"/>
  <c r="AN12" i="6"/>
  <c r="T12" i="6"/>
  <c r="U12" i="6"/>
  <c r="AJ12" i="6"/>
  <c r="BA33" i="6"/>
  <c r="BA66" i="6"/>
  <c r="BA65" i="6"/>
  <c r="BA70" i="6"/>
  <c r="BA59" i="6"/>
  <c r="BA72" i="6"/>
  <c r="BA31" i="6"/>
  <c r="BA44" i="6"/>
  <c r="BA16" i="6"/>
  <c r="BA21" i="6"/>
  <c r="BA41" i="6"/>
  <c r="BA37" i="6"/>
  <c r="BA53" i="6"/>
  <c r="BA35" i="6"/>
  <c r="BA26" i="6"/>
  <c r="BA24" i="6"/>
  <c r="BA38" i="6"/>
  <c r="BA43" i="6"/>
  <c r="BA46" i="6"/>
  <c r="BA52" i="6"/>
  <c r="BA27" i="6"/>
  <c r="BA18" i="6"/>
  <c r="BA19" i="6"/>
  <c r="BA50" i="6"/>
  <c r="BA51" i="6"/>
  <c r="BA54" i="6"/>
  <c r="BA15" i="6"/>
  <c r="BA34" i="6"/>
  <c r="BA17" i="6"/>
  <c r="BA42" i="6"/>
  <c r="BA32" i="6"/>
  <c r="BA29" i="6"/>
  <c r="BA62" i="6"/>
  <c r="BA64" i="6"/>
  <c r="BA8" i="6"/>
  <c r="CA133" i="9"/>
  <c r="CA124" i="9"/>
  <c r="CA108" i="9"/>
  <c r="CA104" i="9"/>
  <c r="CA99" i="9"/>
  <c r="CA95" i="9"/>
  <c r="BZ169" i="1"/>
  <c r="CB166" i="1"/>
  <c r="CD166" i="1" s="1"/>
  <c r="CB38" i="1"/>
  <c r="CB46" i="1"/>
  <c r="CB47" i="1"/>
  <c r="CB48" i="1"/>
  <c r="BZ55" i="1"/>
  <c r="CB49" i="1"/>
  <c r="CB50" i="1"/>
  <c r="CB51" i="1"/>
  <c r="CB52" i="1"/>
  <c r="CB53" i="1"/>
  <c r="CB54" i="1"/>
  <c r="BZ133" i="1"/>
  <c r="BZ144" i="1"/>
  <c r="H150" i="1"/>
  <c r="H151" i="1" s="1"/>
  <c r="BT150" i="1"/>
  <c r="BT151" i="1" s="1"/>
  <c r="N150" i="1"/>
  <c r="N151" i="1" s="1"/>
  <c r="AF150" i="1"/>
  <c r="AF151" i="1" s="1"/>
  <c r="BZ149" i="1"/>
  <c r="BZ150" i="1" s="1"/>
  <c r="CQ153" i="9" s="1"/>
  <c r="I150" i="1"/>
  <c r="I151" i="1" s="1"/>
  <c r="Q150" i="1"/>
  <c r="Q151" i="1" s="1"/>
  <c r="Y150" i="1"/>
  <c r="Y151" i="1" s="1"/>
  <c r="AG150" i="1"/>
  <c r="AG151" i="1" s="1"/>
  <c r="AO150" i="1"/>
  <c r="AO151" i="1" s="1"/>
  <c r="AW150" i="1"/>
  <c r="AW151" i="1" s="1"/>
  <c r="BE150" i="1"/>
  <c r="BE151" i="1" s="1"/>
  <c r="BM150" i="1"/>
  <c r="BM151" i="1" s="1"/>
  <c r="BU150" i="1"/>
  <c r="BU151" i="1" s="1"/>
  <c r="V150" i="1"/>
  <c r="V151" i="1" s="1"/>
  <c r="AN150" i="1"/>
  <c r="AN151" i="1" s="1"/>
  <c r="B149" i="1"/>
  <c r="J149" i="1"/>
  <c r="R149" i="1"/>
  <c r="Z149" i="1"/>
  <c r="Z150" i="1" s="1"/>
  <c r="Z151" i="1" s="1"/>
  <c r="AH149" i="1"/>
  <c r="AH150" i="1" s="1"/>
  <c r="AH151" i="1" s="1"/>
  <c r="AP149" i="1"/>
  <c r="AP150" i="1" s="1"/>
  <c r="AP151" i="1" s="1"/>
  <c r="AX149" i="1"/>
  <c r="AX150" i="1" s="1"/>
  <c r="AX151" i="1" s="1"/>
  <c r="BF149" i="1"/>
  <c r="BN149" i="1"/>
  <c r="BV149" i="1"/>
  <c r="P150" i="1"/>
  <c r="P151" i="1" s="1"/>
  <c r="B150" i="1"/>
  <c r="B151" i="1" s="1"/>
  <c r="J150" i="1"/>
  <c r="J151" i="1" s="1"/>
  <c r="R150" i="1"/>
  <c r="R151" i="1" s="1"/>
  <c r="BF150" i="1"/>
  <c r="BF151" i="1" s="1"/>
  <c r="BN150" i="1"/>
  <c r="BN151" i="1" s="1"/>
  <c r="BV150" i="1"/>
  <c r="BV151" i="1" s="1"/>
  <c r="AT150" i="1"/>
  <c r="AT151" i="1" s="1"/>
  <c r="BL150" i="1"/>
  <c r="BL151" i="1" s="1"/>
  <c r="C149" i="1"/>
  <c r="K149" i="1"/>
  <c r="K150" i="1" s="1"/>
  <c r="K151" i="1" s="1"/>
  <c r="S149" i="1"/>
  <c r="AA149" i="1"/>
  <c r="AI149" i="1"/>
  <c r="AI150" i="1" s="1"/>
  <c r="AI151" i="1" s="1"/>
  <c r="AQ149" i="1"/>
  <c r="AQ150" i="1" s="1"/>
  <c r="AQ151" i="1" s="1"/>
  <c r="AY149" i="1"/>
  <c r="AY150" i="1" s="1"/>
  <c r="AY151" i="1" s="1"/>
  <c r="BG149" i="1"/>
  <c r="BG150" i="1" s="1"/>
  <c r="BG151" i="1" s="1"/>
  <c r="BO149" i="1"/>
  <c r="BW149" i="1"/>
  <c r="BW150" i="1" s="1"/>
  <c r="BW151" i="1" s="1"/>
  <c r="C150" i="1"/>
  <c r="C151" i="1" s="1"/>
  <c r="S150" i="1"/>
  <c r="S151" i="1" s="1"/>
  <c r="AA150" i="1"/>
  <c r="AA151" i="1" s="1"/>
  <c r="BO150" i="1"/>
  <c r="BO151" i="1" s="1"/>
  <c r="F150" i="1"/>
  <c r="F151" i="1" s="1"/>
  <c r="X150" i="1"/>
  <c r="X151" i="1" s="1"/>
  <c r="BR150" i="1"/>
  <c r="BR151" i="1" s="1"/>
  <c r="AD150" i="1"/>
  <c r="AD151" i="1" s="1"/>
  <c r="AV150" i="1"/>
  <c r="AV151" i="1" s="1"/>
  <c r="BL159" i="3"/>
  <c r="BK159" i="3"/>
  <c r="BJ159" i="3"/>
  <c r="BI159" i="3"/>
  <c r="BH159" i="3"/>
  <c r="BG159" i="3"/>
  <c r="BF159" i="3"/>
  <c r="BE159" i="3"/>
  <c r="BD159" i="3"/>
  <c r="BC159" i="3"/>
  <c r="BB159" i="3"/>
  <c r="BA159" i="3"/>
  <c r="AZ159" i="3"/>
  <c r="AY159" i="3"/>
  <c r="AV159" i="3"/>
  <c r="AS159" i="3"/>
  <c r="AP159" i="3"/>
  <c r="AB159" i="3"/>
  <c r="AA159" i="3"/>
  <c r="Z159" i="3"/>
  <c r="Y159" i="3"/>
  <c r="X159" i="3"/>
  <c r="W159" i="3"/>
  <c r="V159" i="3"/>
  <c r="U159" i="3"/>
  <c r="S159" i="3"/>
  <c r="R159" i="3"/>
  <c r="Q159" i="3"/>
  <c r="P159" i="3"/>
  <c r="O159" i="3"/>
  <c r="BL157" i="3"/>
  <c r="BK157" i="3"/>
  <c r="BJ157" i="3"/>
  <c r="BI157" i="3"/>
  <c r="BH157" i="3"/>
  <c r="BG157" i="3"/>
  <c r="BF157" i="3"/>
  <c r="BE157" i="3"/>
  <c r="BD157" i="3"/>
  <c r="BC157" i="3"/>
  <c r="BB157" i="3"/>
  <c r="BA157" i="3"/>
  <c r="AZ157" i="3"/>
  <c r="AY157" i="3"/>
  <c r="AV157" i="3"/>
  <c r="AU157" i="3"/>
  <c r="AT157" i="3"/>
  <c r="AS157" i="3"/>
  <c r="AR157" i="3"/>
  <c r="AQ157" i="3"/>
  <c r="AP157" i="3"/>
  <c r="AF157" i="3"/>
  <c r="AE157" i="3"/>
  <c r="AB157" i="3"/>
  <c r="AA157" i="3"/>
  <c r="Z157" i="3"/>
  <c r="Y157" i="3"/>
  <c r="X157" i="3"/>
  <c r="W157" i="3"/>
  <c r="V157" i="3"/>
  <c r="U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B157" i="3"/>
  <c r="BL154" i="3"/>
  <c r="BK154" i="3"/>
  <c r="BG154" i="3"/>
  <c r="BF154" i="3"/>
  <c r="BE154" i="3"/>
  <c r="BD154" i="3"/>
  <c r="BB154" i="3"/>
  <c r="BA154" i="3"/>
  <c r="AZ154" i="3"/>
  <c r="AY154" i="3"/>
  <c r="BM151" i="3"/>
  <c r="BM150" i="3"/>
  <c r="BM149" i="3"/>
  <c r="BM148" i="3"/>
  <c r="BM139" i="3"/>
  <c r="BM138" i="3"/>
  <c r="BM136" i="3"/>
  <c r="BM135" i="3"/>
  <c r="BM134" i="3"/>
  <c r="BM130" i="3"/>
  <c r="BM129" i="3"/>
  <c r="BM128" i="3"/>
  <c r="BL126" i="3"/>
  <c r="BK126" i="3"/>
  <c r="BJ126" i="3"/>
  <c r="BI126" i="3"/>
  <c r="BH126" i="3"/>
  <c r="BG126" i="3"/>
  <c r="BF126" i="3"/>
  <c r="BE126" i="3"/>
  <c r="BD126" i="3"/>
  <c r="BC126" i="3"/>
  <c r="BB126" i="3"/>
  <c r="BA126" i="3"/>
  <c r="AZ126" i="3"/>
  <c r="AY126" i="3"/>
  <c r="BL124" i="3"/>
  <c r="BK124" i="3"/>
  <c r="BJ124" i="3"/>
  <c r="BI124" i="3"/>
  <c r="BH124" i="3"/>
  <c r="BG124" i="3"/>
  <c r="BF124" i="3"/>
  <c r="BE124" i="3"/>
  <c r="BD124" i="3"/>
  <c r="BC124" i="3"/>
  <c r="BB124" i="3"/>
  <c r="BA124" i="3"/>
  <c r="AZ124" i="3"/>
  <c r="AY124" i="3"/>
  <c r="AQ124" i="3"/>
  <c r="AP124" i="3"/>
  <c r="B124" i="3"/>
  <c r="BL103" i="3"/>
  <c r="BK103" i="3"/>
  <c r="BJ103" i="3"/>
  <c r="BI103" i="3"/>
  <c r="BH103" i="3"/>
  <c r="BG103" i="3"/>
  <c r="BF103" i="3"/>
  <c r="BE103" i="3"/>
  <c r="BD103" i="3"/>
  <c r="BC103" i="3"/>
  <c r="BB103" i="3"/>
  <c r="BA103" i="3"/>
  <c r="AZ103" i="3"/>
  <c r="AY103" i="3"/>
  <c r="AQ103" i="3"/>
  <c r="AP103" i="3"/>
  <c r="B103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Q61" i="3"/>
  <c r="AP61" i="3"/>
  <c r="BL56" i="3"/>
  <c r="BL57" i="3" s="1"/>
  <c r="BK56" i="3"/>
  <c r="BK57" i="3" s="1"/>
  <c r="BJ56" i="3"/>
  <c r="BJ57" i="3" s="1"/>
  <c r="BI56" i="3"/>
  <c r="BI57" i="3" s="1"/>
  <c r="BH56" i="3"/>
  <c r="BH57" i="3" s="1"/>
  <c r="BG56" i="3"/>
  <c r="BG57" i="3" s="1"/>
  <c r="BF56" i="3"/>
  <c r="BF57" i="3" s="1"/>
  <c r="BE56" i="3"/>
  <c r="BE57" i="3" s="1"/>
  <c r="BD56" i="3"/>
  <c r="BD57" i="3" s="1"/>
  <c r="BC56" i="3"/>
  <c r="BC57" i="3" s="1"/>
  <c r="BB56" i="3"/>
  <c r="BB57" i="3" s="1"/>
  <c r="BA56" i="3"/>
  <c r="BA57" i="3" s="1"/>
  <c r="AZ56" i="3"/>
  <c r="AZ57" i="3" s="1"/>
  <c r="AY56" i="3"/>
  <c r="AV57" i="3"/>
  <c r="AU57" i="3"/>
  <c r="AT57" i="3"/>
  <c r="AS57" i="3"/>
  <c r="AR57" i="3"/>
  <c r="AQ57" i="3"/>
  <c r="AP57" i="3"/>
  <c r="AF57" i="3"/>
  <c r="AE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K57" i="3"/>
  <c r="J57" i="3"/>
  <c r="I57" i="3"/>
  <c r="G57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 s="1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B23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V17" i="3"/>
  <c r="AU17" i="3"/>
  <c r="AT17" i="3"/>
  <c r="AS17" i="3"/>
  <c r="AR17" i="3"/>
  <c r="AQ17" i="3"/>
  <c r="AE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 s="1"/>
  <c r="AV16" i="3"/>
  <c r="AU16" i="3"/>
  <c r="AT16" i="3"/>
  <c r="AS16" i="3"/>
  <c r="AR16" i="3"/>
  <c r="AQ16" i="3"/>
  <c r="AF16" i="3"/>
  <c r="AE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U15" i="3"/>
  <c r="AT15" i="3"/>
  <c r="AR15" i="3"/>
  <c r="AQ15" i="3"/>
  <c r="AF15" i="3"/>
  <c r="AE15" i="3"/>
  <c r="AB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BL14" i="3"/>
  <c r="BK14" i="3"/>
  <c r="BC14" i="3"/>
  <c r="BB14" i="3"/>
  <c r="BA14" i="3"/>
  <c r="AZ14" i="3"/>
  <c r="AY14" i="3"/>
  <c r="AV14" i="3"/>
  <c r="AU14" i="3"/>
  <c r="AR14" i="3"/>
  <c r="AQ14" i="3"/>
  <c r="AF14" i="3"/>
  <c r="AE14" i="3"/>
  <c r="V14" i="3"/>
  <c r="T14" i="3"/>
  <c r="S14" i="3"/>
  <c r="R14" i="3"/>
  <c r="Q14" i="3"/>
  <c r="P14" i="3"/>
  <c r="M14" i="3"/>
  <c r="L14" i="3"/>
  <c r="K14" i="3"/>
  <c r="J14" i="3"/>
  <c r="I14" i="3"/>
  <c r="H14" i="3"/>
  <c r="BJ13" i="3"/>
  <c r="BI13" i="3"/>
  <c r="BH13" i="3"/>
  <c r="BG13" i="3"/>
  <c r="BF13" i="3"/>
  <c r="BE13" i="3"/>
  <c r="BD13" i="3"/>
  <c r="AV13" i="3"/>
  <c r="AU13" i="3"/>
  <c r="AT13" i="3"/>
  <c r="AS13" i="3"/>
  <c r="AA13" i="3"/>
  <c r="Z13" i="3"/>
  <c r="Y13" i="3"/>
  <c r="W13" i="3"/>
  <c r="V13" i="3"/>
  <c r="U13" i="3"/>
  <c r="O13" i="3"/>
  <c r="N13" i="3"/>
  <c r="C16" i="3" l="1"/>
  <c r="C14" i="3"/>
  <c r="AX14" i="3"/>
  <c r="C15" i="3"/>
  <c r="C17" i="3"/>
  <c r="C13" i="3"/>
  <c r="AX27" i="3"/>
  <c r="AX26" i="3"/>
  <c r="AX28" i="3" s="1"/>
  <c r="AX15" i="3"/>
  <c r="AX22" i="3"/>
  <c r="BM22" i="3" s="1"/>
  <c r="AX96" i="3"/>
  <c r="BS96" i="3" s="1"/>
  <c r="AX61" i="3"/>
  <c r="AX124" i="3"/>
  <c r="AX157" i="3"/>
  <c r="AX32" i="3"/>
  <c r="AX126" i="3"/>
  <c r="BM126" i="3" s="1"/>
  <c r="AX20" i="3"/>
  <c r="AX13" i="3"/>
  <c r="AX17" i="3"/>
  <c r="AX159" i="3"/>
  <c r="AX103" i="3"/>
  <c r="AX21" i="3"/>
  <c r="BM21" i="3" s="1"/>
  <c r="AX31" i="3"/>
  <c r="BS31" i="3" s="1"/>
  <c r="B13" i="3"/>
  <c r="B14" i="3"/>
  <c r="BM14" i="3" s="1"/>
  <c r="B15" i="3"/>
  <c r="BM15" i="3" s="1"/>
  <c r="B16" i="3"/>
  <c r="BM16" i="3" s="1"/>
  <c r="B17" i="3"/>
  <c r="BS17" i="3" s="1"/>
  <c r="AZ12" i="6"/>
  <c r="AX56" i="3"/>
  <c r="BM56" i="3" s="1"/>
  <c r="BM13" i="3"/>
  <c r="AY57" i="3"/>
  <c r="AX57" i="3" s="1"/>
  <c r="CB79" i="9"/>
  <c r="CB81" i="9"/>
  <c r="CC81" i="9" s="1"/>
  <c r="CB80" i="9"/>
  <c r="CC80" i="9" s="1"/>
  <c r="CB84" i="9"/>
  <c r="CB85" i="9"/>
  <c r="C85" i="9" s="1"/>
  <c r="CA85" i="9" s="1"/>
  <c r="CC85" i="9" s="1"/>
  <c r="CB87" i="9"/>
  <c r="CC87" i="9" s="1"/>
  <c r="CB148" i="9"/>
  <c r="CC148" i="9" s="1"/>
  <c r="CB93" i="9"/>
  <c r="CB94" i="9"/>
  <c r="CC94" i="9" s="1"/>
  <c r="CB96" i="9"/>
  <c r="CC96" i="9" s="1"/>
  <c r="CB98" i="9"/>
  <c r="CB101" i="9"/>
  <c r="CB103" i="9"/>
  <c r="CC103" i="9" s="1"/>
  <c r="CB102" i="9"/>
  <c r="CC102" i="9" s="1"/>
  <c r="CB106" i="9"/>
  <c r="CB107" i="9"/>
  <c r="CC107" i="9" s="1"/>
  <c r="CB110" i="9"/>
  <c r="CB113" i="9"/>
  <c r="CC113" i="9" s="1"/>
  <c r="CB112" i="9"/>
  <c r="CC112" i="9" s="1"/>
  <c r="CB111" i="9"/>
  <c r="CC111" i="9" s="1"/>
  <c r="CB116" i="9"/>
  <c r="CB118" i="9"/>
  <c r="CC118" i="9" s="1"/>
  <c r="CB119" i="9"/>
  <c r="CC119" i="9" s="1"/>
  <c r="CB121" i="9"/>
  <c r="CB123" i="9"/>
  <c r="CC123" i="9" s="1"/>
  <c r="CB122" i="9"/>
  <c r="CC122" i="9" s="1"/>
  <c r="CB126" i="9"/>
  <c r="CB132" i="9"/>
  <c r="CC132" i="9" s="1"/>
  <c r="CB131" i="9"/>
  <c r="CC131" i="9" s="1"/>
  <c r="CB130" i="9"/>
  <c r="CC130" i="9" s="1"/>
  <c r="CB129" i="9"/>
  <c r="CC129" i="9" s="1"/>
  <c r="CB128" i="9"/>
  <c r="CC128" i="9" s="1"/>
  <c r="CB127" i="9"/>
  <c r="CC127" i="9" s="1"/>
  <c r="CB134" i="9"/>
  <c r="CC134" i="9" s="1"/>
  <c r="CB137" i="9"/>
  <c r="CC137" i="9" s="1"/>
  <c r="CB136" i="9"/>
  <c r="CC136" i="9" s="1"/>
  <c r="CB135" i="9"/>
  <c r="CC135" i="9" s="1"/>
  <c r="CB139" i="9"/>
  <c r="CC139" i="9" s="1"/>
  <c r="CB140" i="9"/>
  <c r="CC140" i="9" s="1"/>
  <c r="CB142" i="9"/>
  <c r="CC142" i="9" s="1"/>
  <c r="CB146" i="9"/>
  <c r="CC146" i="9" s="1"/>
  <c r="BS27" i="3"/>
  <c r="BS30" i="3"/>
  <c r="BS14" i="3"/>
  <c r="BS13" i="3"/>
  <c r="BS26" i="3"/>
  <c r="BA12" i="6"/>
  <c r="L57" i="3"/>
  <c r="CB72" i="9"/>
  <c r="CB76" i="9"/>
  <c r="CC76" i="9" s="1"/>
  <c r="CB75" i="9"/>
  <c r="CC75" i="9" s="1"/>
  <c r="CB74" i="9"/>
  <c r="CC74" i="9" s="1"/>
  <c r="CB73" i="9"/>
  <c r="CC73" i="9" s="1"/>
  <c r="BM31" i="3"/>
  <c r="BM27" i="3"/>
  <c r="BM26" i="3"/>
  <c r="BM30" i="3"/>
  <c r="BS87" i="3"/>
  <c r="BS88" i="3"/>
  <c r="H57" i="3"/>
  <c r="G157" i="3"/>
  <c r="G158" i="3" s="1"/>
  <c r="BM156" i="3"/>
  <c r="BM157" i="3" s="1"/>
  <c r="CC180" i="1"/>
  <c r="CE167" i="1" s="1"/>
  <c r="CC179" i="1"/>
  <c r="CE166" i="1" s="1"/>
  <c r="AY51" i="3"/>
  <c r="AZ51" i="3"/>
  <c r="BA51" i="3"/>
  <c r="BB51" i="3"/>
  <c r="BC51" i="3"/>
  <c r="BC54" i="3" s="1"/>
  <c r="BD51" i="3"/>
  <c r="BD54" i="3" s="1"/>
  <c r="BE51" i="3"/>
  <c r="BF51" i="3"/>
  <c r="BF54" i="3" s="1"/>
  <c r="BG51" i="3"/>
  <c r="BG54" i="3" s="1"/>
  <c r="BH51" i="3"/>
  <c r="BH54" i="3" s="1"/>
  <c r="BI51" i="3"/>
  <c r="BI54" i="3" s="1"/>
  <c r="BJ51" i="3"/>
  <c r="BK51" i="3"/>
  <c r="BK54" i="3" s="1"/>
  <c r="BL51" i="3"/>
  <c r="AY38" i="3"/>
  <c r="AZ38" i="3"/>
  <c r="AZ40" i="3" s="1"/>
  <c r="BA38" i="3"/>
  <c r="BA40" i="3" s="1"/>
  <c r="BB38" i="3"/>
  <c r="BB40" i="3" s="1"/>
  <c r="BC38" i="3"/>
  <c r="BC40" i="3" s="1"/>
  <c r="BD38" i="3"/>
  <c r="BD40" i="3" s="1"/>
  <c r="BE38" i="3"/>
  <c r="BE40" i="3" s="1"/>
  <c r="BF38" i="3"/>
  <c r="BF40" i="3" s="1"/>
  <c r="BG38" i="3"/>
  <c r="BG40" i="3" s="1"/>
  <c r="BH38" i="3"/>
  <c r="BH40" i="3" s="1"/>
  <c r="BI38" i="3"/>
  <c r="BI40" i="3" s="1"/>
  <c r="BJ38" i="3"/>
  <c r="BJ40" i="3" s="1"/>
  <c r="BK38" i="3"/>
  <c r="BK40" i="3" s="1"/>
  <c r="BL38" i="3"/>
  <c r="BL40" i="3" s="1"/>
  <c r="P131" i="3"/>
  <c r="G70" i="3"/>
  <c r="BE109" i="3"/>
  <c r="T70" i="3"/>
  <c r="BI89" i="3"/>
  <c r="J70" i="3"/>
  <c r="K89" i="3"/>
  <c r="W89" i="3"/>
  <c r="BI44" i="3"/>
  <c r="V70" i="3"/>
  <c r="BC32" i="3"/>
  <c r="Q28" i="3"/>
  <c r="AE28" i="3"/>
  <c r="N120" i="3"/>
  <c r="BA89" i="3"/>
  <c r="BL23" i="3"/>
  <c r="BA66" i="3"/>
  <c r="S89" i="3"/>
  <c r="N23" i="3"/>
  <c r="Z23" i="3"/>
  <c r="R70" i="3"/>
  <c r="AF70" i="3"/>
  <c r="AS89" i="3"/>
  <c r="BC89" i="3"/>
  <c r="L32" i="3"/>
  <c r="X32" i="3"/>
  <c r="BG99" i="3"/>
  <c r="V23" i="3"/>
  <c r="BL32" i="3"/>
  <c r="BD66" i="3"/>
  <c r="O70" i="3"/>
  <c r="N32" i="3"/>
  <c r="Z32" i="3"/>
  <c r="B66" i="3"/>
  <c r="AY99" i="3"/>
  <c r="BB109" i="3"/>
  <c r="AP70" i="3"/>
  <c r="AA70" i="3"/>
  <c r="AQ28" i="3"/>
  <c r="AY28" i="3"/>
  <c r="AT70" i="3"/>
  <c r="BE70" i="3"/>
  <c r="BL120" i="3"/>
  <c r="BZ151" i="1"/>
  <c r="CD164" i="3"/>
  <c r="BA99" i="3"/>
  <c r="N70" i="3"/>
  <c r="BL70" i="3"/>
  <c r="R85" i="3"/>
  <c r="B89" i="3"/>
  <c r="BD89" i="3"/>
  <c r="X146" i="3"/>
  <c r="AR158" i="3"/>
  <c r="G18" i="3"/>
  <c r="G24" i="3" s="1"/>
  <c r="W23" i="3"/>
  <c r="B28" i="3"/>
  <c r="BD28" i="3"/>
  <c r="BJ44" i="3"/>
  <c r="AR70" i="3"/>
  <c r="BB70" i="3"/>
  <c r="L85" i="3"/>
  <c r="X85" i="3"/>
  <c r="BJ85" i="3"/>
  <c r="BK44" i="3"/>
  <c r="BC66" i="3"/>
  <c r="Q70" i="3"/>
  <c r="AE70" i="3"/>
  <c r="AQ70" i="3"/>
  <c r="AY70" i="3"/>
  <c r="Y85" i="3"/>
  <c r="BK85" i="3"/>
  <c r="I89" i="3"/>
  <c r="U89" i="3"/>
  <c r="O131" i="3"/>
  <c r="K146" i="3"/>
  <c r="W146" i="3"/>
  <c r="BI146" i="3"/>
  <c r="S23" i="3"/>
  <c r="BH70" i="3"/>
  <c r="AV89" i="3"/>
  <c r="BG89" i="3"/>
  <c r="BI114" i="3"/>
  <c r="BE114" i="3"/>
  <c r="L18" i="3"/>
  <c r="L24" i="3" s="1"/>
  <c r="L159" i="3" s="1"/>
  <c r="BJ18" i="3"/>
  <c r="AR18" i="3"/>
  <c r="AR24" i="3" s="1"/>
  <c r="AR159" i="3" s="1"/>
  <c r="S28" i="3"/>
  <c r="O32" i="3"/>
  <c r="AA32" i="3"/>
  <c r="AP32" i="3"/>
  <c r="BE66" i="3"/>
  <c r="BI66" i="3"/>
  <c r="O85" i="3"/>
  <c r="AA85" i="3"/>
  <c r="AP85" i="3"/>
  <c r="BL89" i="3"/>
  <c r="Q158" i="3"/>
  <c r="AE158" i="3"/>
  <c r="AQ158" i="3"/>
  <c r="M18" i="3"/>
  <c r="M24" i="3" s="1"/>
  <c r="M159" i="3" s="1"/>
  <c r="Y18" i="3"/>
  <c r="BK18" i="3"/>
  <c r="BK153" i="3" s="1"/>
  <c r="BC23" i="3"/>
  <c r="BH44" i="3"/>
  <c r="BG66" i="3"/>
  <c r="X131" i="3"/>
  <c r="AR131" i="3"/>
  <c r="AB131" i="3"/>
  <c r="AR146" i="3"/>
  <c r="T146" i="3"/>
  <c r="AT146" i="3"/>
  <c r="BE146" i="3"/>
  <c r="K70" i="3"/>
  <c r="W70" i="3"/>
  <c r="BI70" i="3"/>
  <c r="J85" i="3"/>
  <c r="V85" i="3"/>
  <c r="BH85" i="3"/>
  <c r="AF85" i="3"/>
  <c r="AZ85" i="3"/>
  <c r="AB120" i="3"/>
  <c r="J131" i="3"/>
  <c r="V131" i="3"/>
  <c r="BH131" i="3"/>
  <c r="N131" i="3"/>
  <c r="Z131" i="3"/>
  <c r="BL131" i="3"/>
  <c r="H146" i="3"/>
  <c r="AU146" i="3"/>
  <c r="BF146" i="3"/>
  <c r="BJ146" i="3"/>
  <c r="BA28" i="3"/>
  <c r="BL44" i="3"/>
  <c r="BG81" i="3"/>
  <c r="BI99" i="3"/>
  <c r="M85" i="3"/>
  <c r="BC109" i="3"/>
  <c r="K28" i="3"/>
  <c r="W28" i="3"/>
  <c r="BI28" i="3"/>
  <c r="AY81" i="3"/>
  <c r="J89" i="3"/>
  <c r="BB114" i="3"/>
  <c r="R158" i="3"/>
  <c r="BB66" i="3"/>
  <c r="M70" i="3"/>
  <c r="Y70" i="3"/>
  <c r="BK70" i="3"/>
  <c r="P85" i="3"/>
  <c r="AB85" i="3"/>
  <c r="BJ99" i="3"/>
  <c r="M23" i="3"/>
  <c r="BK23" i="3"/>
  <c r="AS28" i="3"/>
  <c r="BC28" i="3"/>
  <c r="AS32" i="3"/>
  <c r="BB44" i="3"/>
  <c r="Z70" i="3"/>
  <c r="Q85" i="3"/>
  <c r="AE85" i="3"/>
  <c r="AQ85" i="3"/>
  <c r="AY85" i="3"/>
  <c r="AS85" i="3"/>
  <c r="BC85" i="3"/>
  <c r="BG109" i="3"/>
  <c r="AZ114" i="3"/>
  <c r="S120" i="3"/>
  <c r="BA120" i="3"/>
  <c r="L131" i="3"/>
  <c r="J32" i="3"/>
  <c r="V32" i="3"/>
  <c r="BH32" i="3"/>
  <c r="BC44" i="3"/>
  <c r="B85" i="3"/>
  <c r="BD85" i="3"/>
  <c r="M89" i="3"/>
  <c r="Y89" i="3"/>
  <c r="BK89" i="3"/>
  <c r="AZ99" i="3"/>
  <c r="BL109" i="3"/>
  <c r="B109" i="3"/>
  <c r="AU120" i="3"/>
  <c r="L146" i="3"/>
  <c r="I158" i="3"/>
  <c r="U158" i="3"/>
  <c r="AV158" i="3"/>
  <c r="K158" i="3"/>
  <c r="BD44" i="3"/>
  <c r="BF114" i="3"/>
  <c r="G131" i="3"/>
  <c r="T131" i="3"/>
  <c r="AT131" i="3"/>
  <c r="BE131" i="3"/>
  <c r="AA131" i="3"/>
  <c r="AP131" i="3"/>
  <c r="BB131" i="3"/>
  <c r="BJ131" i="3"/>
  <c r="W158" i="3"/>
  <c r="L28" i="3"/>
  <c r="X28" i="3"/>
  <c r="BJ28" i="3"/>
  <c r="AU32" i="3"/>
  <c r="BF32" i="3"/>
  <c r="BB99" i="3"/>
  <c r="BF99" i="3"/>
  <c r="I32" i="3"/>
  <c r="U32" i="3"/>
  <c r="AV32" i="3"/>
  <c r="BG32" i="3"/>
  <c r="M32" i="3"/>
  <c r="Y32" i="3"/>
  <c r="BF44" i="3"/>
  <c r="BD70" i="3"/>
  <c r="BH114" i="3"/>
  <c r="BB18" i="3"/>
  <c r="BB153" i="3" s="1"/>
  <c r="BB158" i="3" s="1"/>
  <c r="BD23" i="3"/>
  <c r="AP66" i="3"/>
  <c r="B99" i="3"/>
  <c r="BD99" i="3"/>
  <c r="AS18" i="3"/>
  <c r="BC18" i="3"/>
  <c r="BC154" i="3" s="1"/>
  <c r="BC158" i="3" s="1"/>
  <c r="U18" i="3"/>
  <c r="Q18" i="3"/>
  <c r="K23" i="3"/>
  <c r="BI23" i="3"/>
  <c r="BJ32" i="3"/>
  <c r="B120" i="3"/>
  <c r="BD120" i="3"/>
  <c r="BD18" i="3"/>
  <c r="BD153" i="3" s="1"/>
  <c r="BD158" i="3" s="1"/>
  <c r="I28" i="3"/>
  <c r="BG28" i="3"/>
  <c r="BK32" i="3"/>
  <c r="BA81" i="3"/>
  <c r="AT158" i="3"/>
  <c r="R18" i="3"/>
  <c r="U28" i="3"/>
  <c r="AV28" i="3"/>
  <c r="T18" i="3"/>
  <c r="T33" i="3" s="1"/>
  <c r="T34" i="3" s="1"/>
  <c r="I23" i="3"/>
  <c r="U23" i="3"/>
  <c r="AV23" i="3"/>
  <c r="BG23" i="3"/>
  <c r="Y23" i="3"/>
  <c r="J28" i="3"/>
  <c r="V28" i="3"/>
  <c r="BH28" i="3"/>
  <c r="N28" i="3"/>
  <c r="Z28" i="3"/>
  <c r="BL28" i="3"/>
  <c r="R32" i="3"/>
  <c r="AF32" i="3"/>
  <c r="AZ32" i="3"/>
  <c r="T89" i="3"/>
  <c r="AT89" i="3"/>
  <c r="BE89" i="3"/>
  <c r="BJ109" i="3"/>
  <c r="H158" i="3"/>
  <c r="AU158" i="3"/>
  <c r="J23" i="3"/>
  <c r="BH23" i="3"/>
  <c r="I18" i="3"/>
  <c r="I24" i="3" s="1"/>
  <c r="I159" i="3" s="1"/>
  <c r="AV18" i="3"/>
  <c r="BG18" i="3"/>
  <c r="BG153" i="3" s="1"/>
  <c r="BG158" i="3" s="1"/>
  <c r="P32" i="3"/>
  <c r="AB32" i="3"/>
  <c r="AR32" i="3"/>
  <c r="BB32" i="3"/>
  <c r="BC114" i="3"/>
  <c r="R23" i="3"/>
  <c r="M28" i="3"/>
  <c r="Y28" i="3"/>
  <c r="BK28" i="3"/>
  <c r="Q32" i="3"/>
  <c r="AE32" i="3"/>
  <c r="AQ32" i="3"/>
  <c r="AY32" i="3"/>
  <c r="Z158" i="3"/>
  <c r="N18" i="3"/>
  <c r="N24" i="3" s="1"/>
  <c r="N159" i="3" s="1"/>
  <c r="Z18" i="3"/>
  <c r="BL18" i="3"/>
  <c r="BL153" i="3" s="1"/>
  <c r="BL158" i="3" s="1"/>
  <c r="J18" i="3"/>
  <c r="J24" i="3" s="1"/>
  <c r="J159" i="3" s="1"/>
  <c r="H23" i="3"/>
  <c r="AU23" i="3"/>
  <c r="BF23" i="3"/>
  <c r="O18" i="3"/>
  <c r="AA18" i="3"/>
  <c r="AP18" i="3"/>
  <c r="AT18" i="3"/>
  <c r="AT24" i="3" s="1"/>
  <c r="AT159" i="3" s="1"/>
  <c r="BE18" i="3"/>
  <c r="BE153" i="3" s="1"/>
  <c r="BE158" i="3" s="1"/>
  <c r="Q23" i="3"/>
  <c r="AE23" i="3"/>
  <c r="AQ23" i="3"/>
  <c r="AY23" i="3"/>
  <c r="AS23" i="3"/>
  <c r="BD32" i="3"/>
  <c r="BH66" i="3"/>
  <c r="BL66" i="3"/>
  <c r="BJ81" i="3"/>
  <c r="BF109" i="3"/>
  <c r="L120" i="3"/>
  <c r="X120" i="3"/>
  <c r="BJ120" i="3"/>
  <c r="AF23" i="3"/>
  <c r="AZ23" i="3"/>
  <c r="AE18" i="3"/>
  <c r="AE24" i="3" s="1"/>
  <c r="AE159" i="3" s="1"/>
  <c r="AY18" i="3"/>
  <c r="AY153" i="3" s="1"/>
  <c r="AQ18" i="3"/>
  <c r="AQ24" i="3" s="1"/>
  <c r="AQ159" i="3" s="1"/>
  <c r="BA23" i="3"/>
  <c r="H32" i="3"/>
  <c r="P70" i="3"/>
  <c r="AB70" i="3"/>
  <c r="AF158" i="3"/>
  <c r="H70" i="3"/>
  <c r="AU70" i="3"/>
  <c r="BF70" i="3"/>
  <c r="L70" i="3"/>
  <c r="BB81" i="3"/>
  <c r="N89" i="3"/>
  <c r="Z89" i="3"/>
  <c r="R131" i="3"/>
  <c r="AF131" i="3"/>
  <c r="AZ131" i="3"/>
  <c r="R28" i="3"/>
  <c r="AF28" i="3"/>
  <c r="AZ28" i="3"/>
  <c r="AZ44" i="3"/>
  <c r="BJ66" i="3"/>
  <c r="I70" i="3"/>
  <c r="U70" i="3"/>
  <c r="AV70" i="3"/>
  <c r="BG70" i="3"/>
  <c r="O89" i="3"/>
  <c r="AA89" i="3"/>
  <c r="AP89" i="3"/>
  <c r="AR120" i="3"/>
  <c r="BB120" i="3"/>
  <c r="S131" i="3"/>
  <c r="BA131" i="3"/>
  <c r="S146" i="3"/>
  <c r="BA146" i="3"/>
  <c r="O146" i="3"/>
  <c r="J158" i="3"/>
  <c r="V158" i="3"/>
  <c r="BA44" i="3"/>
  <c r="BD81" i="3"/>
  <c r="S85" i="3"/>
  <c r="BA85" i="3"/>
  <c r="BH99" i="3"/>
  <c r="S158" i="3"/>
  <c r="AR28" i="3"/>
  <c r="BB28" i="3"/>
  <c r="G32" i="3"/>
  <c r="AT32" i="3"/>
  <c r="BE32" i="3"/>
  <c r="AR85" i="3"/>
  <c r="BB85" i="3"/>
  <c r="Q89" i="3"/>
  <c r="AE89" i="3"/>
  <c r="AQ89" i="3"/>
  <c r="AY89" i="3"/>
  <c r="BG114" i="3"/>
  <c r="H18" i="3"/>
  <c r="H24" i="3" s="1"/>
  <c r="H159" i="3" s="1"/>
  <c r="X18" i="3"/>
  <c r="P23" i="3"/>
  <c r="BE44" i="3"/>
  <c r="AQ66" i="3"/>
  <c r="AY66" i="3"/>
  <c r="G85" i="3"/>
  <c r="T85" i="3"/>
  <c r="AT85" i="3"/>
  <c r="BE85" i="3"/>
  <c r="BL99" i="3"/>
  <c r="BD109" i="3"/>
  <c r="BJ114" i="3"/>
  <c r="AZ66" i="3"/>
  <c r="S70" i="3"/>
  <c r="BA70" i="3"/>
  <c r="BI81" i="3"/>
  <c r="H85" i="3"/>
  <c r="AU85" i="3"/>
  <c r="BF85" i="3"/>
  <c r="BK114" i="3"/>
  <c r="AY114" i="3"/>
  <c r="Z120" i="3"/>
  <c r="P158" i="3"/>
  <c r="AB158" i="3"/>
  <c r="AS70" i="3"/>
  <c r="BC70" i="3"/>
  <c r="N85" i="3"/>
  <c r="Z85" i="3"/>
  <c r="BL85" i="3"/>
  <c r="BK109" i="3"/>
  <c r="AQ109" i="3"/>
  <c r="BA114" i="3"/>
  <c r="P120" i="3"/>
  <c r="H120" i="3"/>
  <c r="BF120" i="3"/>
  <c r="N158" i="3"/>
  <c r="K131" i="3"/>
  <c r="W131" i="3"/>
  <c r="BI131" i="3"/>
  <c r="L158" i="3"/>
  <c r="X158" i="3"/>
  <c r="BJ158" i="3"/>
  <c r="BL81" i="3"/>
  <c r="I85" i="3"/>
  <c r="U85" i="3"/>
  <c r="AV85" i="3"/>
  <c r="BG85" i="3"/>
  <c r="AP109" i="3"/>
  <c r="K120" i="3"/>
  <c r="W120" i="3"/>
  <c r="BI120" i="3"/>
  <c r="P146" i="3"/>
  <c r="AB146" i="3"/>
  <c r="X70" i="3"/>
  <c r="BJ70" i="3"/>
  <c r="BF81" i="3"/>
  <c r="K85" i="3"/>
  <c r="W85" i="3"/>
  <c r="BI85" i="3"/>
  <c r="BE99" i="3"/>
  <c r="AY109" i="3"/>
  <c r="N146" i="3"/>
  <c r="BL146" i="3"/>
  <c r="O158" i="3"/>
  <c r="AA158" i="3"/>
  <c r="AZ81" i="3"/>
  <c r="AR89" i="3"/>
  <c r="BB89" i="3"/>
  <c r="BC99" i="3"/>
  <c r="BD114" i="3"/>
  <c r="O120" i="3"/>
  <c r="H131" i="3"/>
  <c r="AU131" i="3"/>
  <c r="BF131" i="3"/>
  <c r="BB146" i="3"/>
  <c r="AZ70" i="3"/>
  <c r="BH81" i="3"/>
  <c r="L89" i="3"/>
  <c r="X89" i="3"/>
  <c r="BJ89" i="3"/>
  <c r="BK99" i="3"/>
  <c r="BL114" i="3"/>
  <c r="T120" i="3"/>
  <c r="AT120" i="3"/>
  <c r="B32" i="3"/>
  <c r="P18" i="3"/>
  <c r="BF18" i="3"/>
  <c r="BF153" i="3" s="1"/>
  <c r="BF158" i="3" s="1"/>
  <c r="BJ23" i="3"/>
  <c r="H28" i="3"/>
  <c r="AU28" i="3"/>
  <c r="BF28" i="3"/>
  <c r="X23" i="3"/>
  <c r="P28" i="3"/>
  <c r="AB28" i="3"/>
  <c r="V18" i="3"/>
  <c r="AF18" i="3"/>
  <c r="AF24" i="3" s="1"/>
  <c r="AF159" i="3" s="1"/>
  <c r="AZ18" i="3"/>
  <c r="AZ153" i="3" s="1"/>
  <c r="AZ158" i="3" s="1"/>
  <c r="BH18" i="3"/>
  <c r="BH158" i="3" s="1"/>
  <c r="K32" i="3"/>
  <c r="S32" i="3"/>
  <c r="W32" i="3"/>
  <c r="BA32" i="3"/>
  <c r="BI32" i="3"/>
  <c r="AB18" i="3"/>
  <c r="BB23" i="3"/>
  <c r="K18" i="3"/>
  <c r="K24" i="3" s="1"/>
  <c r="K159" i="3" s="1"/>
  <c r="W18" i="3"/>
  <c r="BA18" i="3"/>
  <c r="BA153" i="3" s="1"/>
  <c r="BA158" i="3" s="1"/>
  <c r="O23" i="3"/>
  <c r="AA23" i="3"/>
  <c r="AP23" i="3"/>
  <c r="O28" i="3"/>
  <c r="AA28" i="3"/>
  <c r="AT28" i="3"/>
  <c r="BE28" i="3"/>
  <c r="AU18" i="3"/>
  <c r="AU24" i="3" s="1"/>
  <c r="AU159" i="3" s="1"/>
  <c r="L23" i="3"/>
  <c r="AR23" i="3"/>
  <c r="S18" i="3"/>
  <c r="BI18" i="3"/>
  <c r="BI158" i="3" s="1"/>
  <c r="G23" i="3"/>
  <c r="AT23" i="3"/>
  <c r="BE23" i="3"/>
  <c r="G28" i="3"/>
  <c r="AP28" i="3"/>
  <c r="BK66" i="3"/>
  <c r="B57" i="3"/>
  <c r="AY44" i="3"/>
  <c r="BG44" i="3"/>
  <c r="BC81" i="3"/>
  <c r="BK81" i="3"/>
  <c r="B94" i="3"/>
  <c r="P89" i="3"/>
  <c r="AB89" i="3"/>
  <c r="AU89" i="3"/>
  <c r="BF89" i="3"/>
  <c r="BE81" i="3"/>
  <c r="R89" i="3"/>
  <c r="V89" i="3"/>
  <c r="AF89" i="3"/>
  <c r="AZ89" i="3"/>
  <c r="BH89" i="3"/>
  <c r="BF66" i="3"/>
  <c r="B70" i="3"/>
  <c r="BA109" i="3"/>
  <c r="BI109" i="3"/>
  <c r="G146" i="3"/>
  <c r="G120" i="3"/>
  <c r="AA120" i="3"/>
  <c r="AP120" i="3"/>
  <c r="BE120" i="3"/>
  <c r="B114" i="3"/>
  <c r="M120" i="3"/>
  <c r="Y120" i="3"/>
  <c r="AS120" i="3"/>
  <c r="BC120" i="3"/>
  <c r="BK120" i="3"/>
  <c r="B131" i="3"/>
  <c r="BD131" i="3"/>
  <c r="AZ109" i="3"/>
  <c r="BH109" i="3"/>
  <c r="I120" i="3"/>
  <c r="Q120" i="3"/>
  <c r="U120" i="3"/>
  <c r="AE120" i="3"/>
  <c r="AQ120" i="3"/>
  <c r="AV120" i="3"/>
  <c r="AY120" i="3"/>
  <c r="BG120" i="3"/>
  <c r="M146" i="3"/>
  <c r="Y146" i="3"/>
  <c r="AS146" i="3"/>
  <c r="BC146" i="3"/>
  <c r="BK146" i="3"/>
  <c r="J120" i="3"/>
  <c r="R120" i="3"/>
  <c r="V120" i="3"/>
  <c r="AF120" i="3"/>
  <c r="AZ120" i="3"/>
  <c r="BH120" i="3"/>
  <c r="Z146" i="3"/>
  <c r="BD146" i="3"/>
  <c r="I131" i="3"/>
  <c r="Q131" i="3"/>
  <c r="U131" i="3"/>
  <c r="AE131" i="3"/>
  <c r="AQ131" i="3"/>
  <c r="AY131" i="3"/>
  <c r="BG131" i="3"/>
  <c r="AA146" i="3"/>
  <c r="AP158" i="3"/>
  <c r="M131" i="3"/>
  <c r="Y131" i="3"/>
  <c r="AS131" i="3"/>
  <c r="BC131" i="3"/>
  <c r="BK131" i="3"/>
  <c r="I146" i="3"/>
  <c r="Q146" i="3"/>
  <c r="U146" i="3"/>
  <c r="AE146" i="3"/>
  <c r="AQ146" i="3"/>
  <c r="AV146" i="3"/>
  <c r="AY146" i="3"/>
  <c r="BG146" i="3"/>
  <c r="M158" i="3"/>
  <c r="Y158" i="3"/>
  <c r="AS158" i="3"/>
  <c r="BK158" i="3"/>
  <c r="J146" i="3"/>
  <c r="R146" i="3"/>
  <c r="V146" i="3"/>
  <c r="AF146" i="3"/>
  <c r="AZ146" i="3"/>
  <c r="BH146" i="3"/>
  <c r="BS22" i="3" l="1"/>
  <c r="C24" i="3"/>
  <c r="BS16" i="3"/>
  <c r="BM96" i="3"/>
  <c r="BO96" i="3" s="1"/>
  <c r="BS21" i="3"/>
  <c r="AX18" i="3"/>
  <c r="BS126" i="3"/>
  <c r="AX23" i="3"/>
  <c r="AX33" i="3" s="1"/>
  <c r="BS56" i="3"/>
  <c r="BS57" i="3" s="1"/>
  <c r="BM17" i="3"/>
  <c r="BM18" i="3" s="1"/>
  <c r="AV33" i="3"/>
  <c r="AV34" i="3" s="1"/>
  <c r="B18" i="3"/>
  <c r="BS15" i="3"/>
  <c r="C18" i="3"/>
  <c r="C33" i="3" s="1"/>
  <c r="C34" i="3" s="1"/>
  <c r="B24" i="3"/>
  <c r="BS24" i="3" s="1"/>
  <c r="AX146" i="3"/>
  <c r="AX131" i="3"/>
  <c r="AX120" i="3"/>
  <c r="AX44" i="3"/>
  <c r="AX109" i="3"/>
  <c r="AX114" i="3"/>
  <c r="AX66" i="3"/>
  <c r="AX89" i="3"/>
  <c r="AX153" i="3"/>
  <c r="B153" i="3" s="1"/>
  <c r="AX154" i="3"/>
  <c r="B154" i="3" s="1"/>
  <c r="BM154" i="3" s="1"/>
  <c r="BO154" i="3" s="1"/>
  <c r="AX85" i="3"/>
  <c r="AX81" i="3"/>
  <c r="AX70" i="3"/>
  <c r="AX99" i="3"/>
  <c r="AX38" i="3"/>
  <c r="AX40" i="3" s="1"/>
  <c r="AY54" i="3"/>
  <c r="AX51" i="3"/>
  <c r="AY158" i="3"/>
  <c r="AX158" i="3" s="1"/>
  <c r="AY40" i="3"/>
  <c r="G159" i="3"/>
  <c r="C159" i="3" s="1"/>
  <c r="CB133" i="9"/>
  <c r="CC133" i="9" s="1"/>
  <c r="CC126" i="9"/>
  <c r="CB124" i="9"/>
  <c r="CC124" i="9" s="1"/>
  <c r="CC121" i="9"/>
  <c r="CB117" i="9"/>
  <c r="CC117" i="9" s="1"/>
  <c r="CC116" i="9"/>
  <c r="CB114" i="9"/>
  <c r="CC114" i="9" s="1"/>
  <c r="CC110" i="9"/>
  <c r="CB108" i="9"/>
  <c r="CC108" i="9" s="1"/>
  <c r="CC106" i="9"/>
  <c r="CB104" i="9"/>
  <c r="CC104" i="9" s="1"/>
  <c r="CC101" i="9"/>
  <c r="CB99" i="9"/>
  <c r="CC99" i="9" s="1"/>
  <c r="CC98" i="9"/>
  <c r="CB95" i="9"/>
  <c r="CC95" i="9" s="1"/>
  <c r="CC93" i="9"/>
  <c r="CB86" i="9"/>
  <c r="C84" i="9"/>
  <c r="CB82" i="9"/>
  <c r="CC82" i="9" s="1"/>
  <c r="CC79" i="9"/>
  <c r="BS32" i="3"/>
  <c r="BM57" i="3"/>
  <c r="BO126" i="3"/>
  <c r="BO156" i="3"/>
  <c r="BS157" i="3"/>
  <c r="BO149" i="3"/>
  <c r="BO150" i="3"/>
  <c r="BO151" i="3"/>
  <c r="BO148" i="3"/>
  <c r="BO134" i="3"/>
  <c r="BO135" i="3"/>
  <c r="BO136" i="3"/>
  <c r="BO138" i="3"/>
  <c r="BO139" i="3"/>
  <c r="BO129" i="3"/>
  <c r="BO130" i="3"/>
  <c r="BO128" i="3"/>
  <c r="BS131" i="3"/>
  <c r="BO117" i="3"/>
  <c r="BO118" i="3"/>
  <c r="BO119" i="3"/>
  <c r="BO116" i="3"/>
  <c r="BS120" i="3"/>
  <c r="BO111" i="3"/>
  <c r="BO106" i="3"/>
  <c r="BO105" i="3"/>
  <c r="BS109" i="3"/>
  <c r="BO100" i="3"/>
  <c r="BO90" i="3"/>
  <c r="BO83" i="3"/>
  <c r="BO84" i="3"/>
  <c r="BS85" i="3"/>
  <c r="BS28" i="3"/>
  <c r="BS18" i="3"/>
  <c r="CB77" i="9"/>
  <c r="CC77" i="9" s="1"/>
  <c r="CC72" i="9"/>
  <c r="P33" i="3"/>
  <c r="P34" i="3" s="1"/>
  <c r="BE54" i="3"/>
  <c r="BB54" i="3"/>
  <c r="BA54" i="3"/>
  <c r="BL54" i="3"/>
  <c r="AZ54" i="3"/>
  <c r="BJ54" i="3"/>
  <c r="G89" i="3"/>
  <c r="C182" i="1"/>
  <c r="C183" i="1" s="1"/>
  <c r="D182" i="1"/>
  <c r="D183" i="1" s="1"/>
  <c r="E182" i="1"/>
  <c r="E183" i="1" s="1"/>
  <c r="F182" i="1"/>
  <c r="F183" i="1" s="1"/>
  <c r="G182" i="1"/>
  <c r="G183" i="1" s="1"/>
  <c r="H182" i="1"/>
  <c r="H183" i="1" s="1"/>
  <c r="I182" i="1"/>
  <c r="I183" i="1" s="1"/>
  <c r="J182" i="1"/>
  <c r="J183" i="1" s="1"/>
  <c r="K182" i="1"/>
  <c r="K183" i="1" s="1"/>
  <c r="L182" i="1"/>
  <c r="L183" i="1" s="1"/>
  <c r="M182" i="1"/>
  <c r="M183" i="1" s="1"/>
  <c r="N182" i="1"/>
  <c r="N183" i="1" s="1"/>
  <c r="O182" i="1"/>
  <c r="O183" i="1" s="1"/>
  <c r="P182" i="1"/>
  <c r="P183" i="1" s="1"/>
  <c r="Q182" i="1"/>
  <c r="Q183" i="1" s="1"/>
  <c r="R182" i="1"/>
  <c r="R183" i="1" s="1"/>
  <c r="S182" i="1"/>
  <c r="S183" i="1" s="1"/>
  <c r="T182" i="1"/>
  <c r="T183" i="1" s="1"/>
  <c r="U182" i="1"/>
  <c r="U183" i="1" s="1"/>
  <c r="V182" i="1"/>
  <c r="V183" i="1" s="1"/>
  <c r="W182" i="1"/>
  <c r="W183" i="1" s="1"/>
  <c r="X182" i="1"/>
  <c r="X183" i="1" s="1"/>
  <c r="Y182" i="1"/>
  <c r="Y183" i="1" s="1"/>
  <c r="Z182" i="1"/>
  <c r="Z183" i="1" s="1"/>
  <c r="AA182" i="1"/>
  <c r="AA183" i="1" s="1"/>
  <c r="AB182" i="1"/>
  <c r="AB183" i="1" s="1"/>
  <c r="AC182" i="1"/>
  <c r="AC183" i="1" s="1"/>
  <c r="AD182" i="1"/>
  <c r="AD183" i="1" s="1"/>
  <c r="AE182" i="1"/>
  <c r="AE183" i="1" s="1"/>
  <c r="AF182" i="1"/>
  <c r="AF183" i="1" s="1"/>
  <c r="AG182" i="1"/>
  <c r="AG183" i="1" s="1"/>
  <c r="AH182" i="1"/>
  <c r="AH183" i="1" s="1"/>
  <c r="AI182" i="1"/>
  <c r="AI183" i="1" s="1"/>
  <c r="AJ182" i="1"/>
  <c r="AJ183" i="1" s="1"/>
  <c r="AK182" i="1"/>
  <c r="AK183" i="1" s="1"/>
  <c r="AL182" i="1"/>
  <c r="AL183" i="1" s="1"/>
  <c r="AM182" i="1"/>
  <c r="AM183" i="1" s="1"/>
  <c r="AN182" i="1"/>
  <c r="AN183" i="1" s="1"/>
  <c r="AO182" i="1"/>
  <c r="AO183" i="1" s="1"/>
  <c r="AP182" i="1"/>
  <c r="AP183" i="1" s="1"/>
  <c r="AQ182" i="1"/>
  <c r="AQ183" i="1" s="1"/>
  <c r="AR182" i="1"/>
  <c r="AR183" i="1" s="1"/>
  <c r="AS182" i="1"/>
  <c r="AS183" i="1" s="1"/>
  <c r="AT182" i="1"/>
  <c r="AT183" i="1" s="1"/>
  <c r="AU182" i="1"/>
  <c r="AU183" i="1" s="1"/>
  <c r="AV182" i="1"/>
  <c r="AV183" i="1" s="1"/>
  <c r="AW182" i="1"/>
  <c r="AW183" i="1" s="1"/>
  <c r="AX182" i="1"/>
  <c r="AX183" i="1" s="1"/>
  <c r="AY182" i="1"/>
  <c r="AY183" i="1" s="1"/>
  <c r="AZ182" i="1"/>
  <c r="AZ183" i="1" s="1"/>
  <c r="BA182" i="1"/>
  <c r="BA183" i="1" s="1"/>
  <c r="BB182" i="1"/>
  <c r="BB183" i="1" s="1"/>
  <c r="BC182" i="1"/>
  <c r="BC183" i="1" s="1"/>
  <c r="BD182" i="1"/>
  <c r="BD183" i="1" s="1"/>
  <c r="BE182" i="1"/>
  <c r="BE183" i="1" s="1"/>
  <c r="BF182" i="1"/>
  <c r="BF183" i="1" s="1"/>
  <c r="BG182" i="1"/>
  <c r="BG183" i="1" s="1"/>
  <c r="BH182" i="1"/>
  <c r="BH183" i="1" s="1"/>
  <c r="BI182" i="1"/>
  <c r="BI183" i="1" s="1"/>
  <c r="BJ182" i="1"/>
  <c r="BJ183" i="1" s="1"/>
  <c r="BK182" i="1"/>
  <c r="BK183" i="1" s="1"/>
  <c r="BL182" i="1"/>
  <c r="BL183" i="1" s="1"/>
  <c r="BM182" i="1"/>
  <c r="BM183" i="1" s="1"/>
  <c r="BN182" i="1"/>
  <c r="BN183" i="1" s="1"/>
  <c r="BO182" i="1"/>
  <c r="BO183" i="1" s="1"/>
  <c r="BP182" i="1"/>
  <c r="BP183" i="1" s="1"/>
  <c r="BQ182" i="1"/>
  <c r="BQ183" i="1" s="1"/>
  <c r="BR182" i="1"/>
  <c r="BR183" i="1" s="1"/>
  <c r="BS182" i="1"/>
  <c r="BS183" i="1" s="1"/>
  <c r="BT182" i="1"/>
  <c r="BT183" i="1" s="1"/>
  <c r="BU182" i="1"/>
  <c r="BU183" i="1" s="1"/>
  <c r="BV182" i="1"/>
  <c r="BV183" i="1" s="1"/>
  <c r="BW182" i="1"/>
  <c r="BW183" i="1" s="1"/>
  <c r="BX182" i="1"/>
  <c r="BX183" i="1" s="1"/>
  <c r="BY182" i="1"/>
  <c r="BY183" i="1" s="1"/>
  <c r="B182" i="1"/>
  <c r="B183" i="1" s="1"/>
  <c r="CE169" i="1"/>
  <c r="C170" i="1"/>
  <c r="C171" i="1" s="1"/>
  <c r="D170" i="1"/>
  <c r="D171" i="1" s="1"/>
  <c r="E170" i="1"/>
  <c r="E171" i="1" s="1"/>
  <c r="F170" i="1"/>
  <c r="F171" i="1" s="1"/>
  <c r="G170" i="1"/>
  <c r="G171" i="1" s="1"/>
  <c r="H170" i="1"/>
  <c r="H171" i="1" s="1"/>
  <c r="I170" i="1"/>
  <c r="I171" i="1" s="1"/>
  <c r="J170" i="1"/>
  <c r="J171" i="1" s="1"/>
  <c r="K170" i="1"/>
  <c r="K171" i="1" s="1"/>
  <c r="L170" i="1"/>
  <c r="L171" i="1" s="1"/>
  <c r="M170" i="1"/>
  <c r="M171" i="1" s="1"/>
  <c r="N170" i="1"/>
  <c r="N171" i="1" s="1"/>
  <c r="O170" i="1"/>
  <c r="O171" i="1" s="1"/>
  <c r="P170" i="1"/>
  <c r="P171" i="1" s="1"/>
  <c r="Q170" i="1"/>
  <c r="Q171" i="1" s="1"/>
  <c r="R170" i="1"/>
  <c r="R171" i="1" s="1"/>
  <c r="S170" i="1"/>
  <c r="S171" i="1" s="1"/>
  <c r="T170" i="1"/>
  <c r="T171" i="1" s="1"/>
  <c r="U170" i="1"/>
  <c r="U171" i="1" s="1"/>
  <c r="V170" i="1"/>
  <c r="V171" i="1" s="1"/>
  <c r="W170" i="1"/>
  <c r="W171" i="1" s="1"/>
  <c r="X170" i="1"/>
  <c r="X171" i="1" s="1"/>
  <c r="Y170" i="1"/>
  <c r="Y171" i="1" s="1"/>
  <c r="Z170" i="1"/>
  <c r="Z171" i="1" s="1"/>
  <c r="AA170" i="1"/>
  <c r="AA171" i="1" s="1"/>
  <c r="AB170" i="1"/>
  <c r="AB171" i="1" s="1"/>
  <c r="AC170" i="1"/>
  <c r="AC171" i="1" s="1"/>
  <c r="AD170" i="1"/>
  <c r="AD171" i="1" s="1"/>
  <c r="AE170" i="1"/>
  <c r="AE171" i="1" s="1"/>
  <c r="AF170" i="1"/>
  <c r="AF171" i="1" s="1"/>
  <c r="AG170" i="1"/>
  <c r="AG171" i="1" s="1"/>
  <c r="AH170" i="1"/>
  <c r="AH171" i="1" s="1"/>
  <c r="AI170" i="1"/>
  <c r="AI171" i="1" s="1"/>
  <c r="AJ170" i="1"/>
  <c r="AJ171" i="1" s="1"/>
  <c r="AK170" i="1"/>
  <c r="AK171" i="1" s="1"/>
  <c r="AL170" i="1"/>
  <c r="AL171" i="1" s="1"/>
  <c r="AM170" i="1"/>
  <c r="AM171" i="1" s="1"/>
  <c r="AN170" i="1"/>
  <c r="AN171" i="1" s="1"/>
  <c r="AO170" i="1"/>
  <c r="AO171" i="1" s="1"/>
  <c r="AP170" i="1"/>
  <c r="AP171" i="1" s="1"/>
  <c r="AQ170" i="1"/>
  <c r="AQ171" i="1" s="1"/>
  <c r="AR170" i="1"/>
  <c r="AR171" i="1" s="1"/>
  <c r="AS170" i="1"/>
  <c r="AS171" i="1" s="1"/>
  <c r="AT170" i="1"/>
  <c r="AT171" i="1" s="1"/>
  <c r="AU170" i="1"/>
  <c r="AU171" i="1" s="1"/>
  <c r="AV170" i="1"/>
  <c r="AV171" i="1" s="1"/>
  <c r="AW170" i="1"/>
  <c r="AW171" i="1" s="1"/>
  <c r="AX170" i="1"/>
  <c r="AX171" i="1" s="1"/>
  <c r="AY170" i="1"/>
  <c r="AY171" i="1" s="1"/>
  <c r="AZ170" i="1"/>
  <c r="AZ171" i="1" s="1"/>
  <c r="BA170" i="1"/>
  <c r="BA171" i="1" s="1"/>
  <c r="BB170" i="1"/>
  <c r="BB171" i="1" s="1"/>
  <c r="BC170" i="1"/>
  <c r="BC171" i="1" s="1"/>
  <c r="BD170" i="1"/>
  <c r="BD171" i="1" s="1"/>
  <c r="BE170" i="1"/>
  <c r="BE171" i="1" s="1"/>
  <c r="BF170" i="1"/>
  <c r="BF171" i="1" s="1"/>
  <c r="BG170" i="1"/>
  <c r="BG171" i="1" s="1"/>
  <c r="BH170" i="1"/>
  <c r="BH171" i="1" s="1"/>
  <c r="BI170" i="1"/>
  <c r="BI171" i="1" s="1"/>
  <c r="BJ170" i="1"/>
  <c r="BJ171" i="1" s="1"/>
  <c r="BK170" i="1"/>
  <c r="BK171" i="1" s="1"/>
  <c r="BL170" i="1"/>
  <c r="BL171" i="1" s="1"/>
  <c r="BM170" i="1"/>
  <c r="BM171" i="1" s="1"/>
  <c r="BN170" i="1"/>
  <c r="BN171" i="1" s="1"/>
  <c r="BO170" i="1"/>
  <c r="BO171" i="1" s="1"/>
  <c r="BP170" i="1"/>
  <c r="BP171" i="1" s="1"/>
  <c r="BQ170" i="1"/>
  <c r="BQ171" i="1" s="1"/>
  <c r="BR170" i="1"/>
  <c r="BR171" i="1" s="1"/>
  <c r="BS170" i="1"/>
  <c r="BS171" i="1" s="1"/>
  <c r="BT170" i="1"/>
  <c r="BT171" i="1" s="1"/>
  <c r="BU170" i="1"/>
  <c r="BU171" i="1" s="1"/>
  <c r="BV170" i="1"/>
  <c r="BV171" i="1" s="1"/>
  <c r="BW170" i="1"/>
  <c r="BW171" i="1" s="1"/>
  <c r="BX170" i="1"/>
  <c r="BX171" i="1" s="1"/>
  <c r="BY170" i="1"/>
  <c r="BY171" i="1" s="1"/>
  <c r="B170" i="1"/>
  <c r="Z33" i="3"/>
  <c r="Z34" i="3" s="1"/>
  <c r="AS33" i="3"/>
  <c r="AS34" i="3" s="1"/>
  <c r="BL33" i="3"/>
  <c r="BL34" i="3" s="1"/>
  <c r="AR33" i="3"/>
  <c r="AR34" i="3" s="1"/>
  <c r="N33" i="3"/>
  <c r="N34" i="3" s="1"/>
  <c r="Q33" i="3"/>
  <c r="Q34" i="3" s="1"/>
  <c r="J33" i="3"/>
  <c r="J34" i="3" s="1"/>
  <c r="M33" i="3"/>
  <c r="M34" i="3" s="1"/>
  <c r="BM85" i="3"/>
  <c r="AT33" i="3"/>
  <c r="AT34" i="3" s="1"/>
  <c r="BM131" i="3"/>
  <c r="BC33" i="3"/>
  <c r="BC34" i="3" s="1"/>
  <c r="U33" i="3"/>
  <c r="U34" i="3" s="1"/>
  <c r="AZ33" i="3"/>
  <c r="AZ34" i="3" s="1"/>
  <c r="L33" i="3"/>
  <c r="L34" i="3" s="1"/>
  <c r="Y33" i="3"/>
  <c r="Y34" i="3" s="1"/>
  <c r="AU33" i="3"/>
  <c r="AU34" i="3" s="1"/>
  <c r="K33" i="3"/>
  <c r="K34" i="3" s="1"/>
  <c r="BB33" i="3"/>
  <c r="BB34" i="3" s="1"/>
  <c r="BK33" i="3"/>
  <c r="BK34" i="3" s="1"/>
  <c r="AF33" i="3"/>
  <c r="AF34" i="3" s="1"/>
  <c r="AB33" i="3"/>
  <c r="AB34" i="3" s="1"/>
  <c r="V33" i="3"/>
  <c r="V34" i="3" s="1"/>
  <c r="BJ33" i="3"/>
  <c r="BJ34" i="3" s="1"/>
  <c r="R33" i="3"/>
  <c r="R34" i="3" s="1"/>
  <c r="BM120" i="3"/>
  <c r="BG33" i="3"/>
  <c r="BG34" i="3" s="1"/>
  <c r="AQ33" i="3"/>
  <c r="AQ34" i="3" s="1"/>
  <c r="BD33" i="3"/>
  <c r="BD34" i="3" s="1"/>
  <c r="BE33" i="3"/>
  <c r="BE34" i="3" s="1"/>
  <c r="BM70" i="3"/>
  <c r="G33" i="3"/>
  <c r="G34" i="3" s="1"/>
  <c r="BI33" i="3"/>
  <c r="BI34" i="3" s="1"/>
  <c r="AP33" i="3"/>
  <c r="BM32" i="3"/>
  <c r="S33" i="3"/>
  <c r="S34" i="3" s="1"/>
  <c r="AA33" i="3"/>
  <c r="AA34" i="3" s="1"/>
  <c r="I33" i="3"/>
  <c r="I34" i="3" s="1"/>
  <c r="AY33" i="3"/>
  <c r="AY34" i="3" s="1"/>
  <c r="H33" i="3"/>
  <c r="H34" i="3" s="1"/>
  <c r="AE33" i="3"/>
  <c r="AE34" i="3" s="1"/>
  <c r="O33" i="3"/>
  <c r="O34" i="3" s="1"/>
  <c r="X33" i="3"/>
  <c r="X34" i="3" s="1"/>
  <c r="BA33" i="3"/>
  <c r="BA34" i="3" s="1"/>
  <c r="BF33" i="3"/>
  <c r="BF34" i="3" s="1"/>
  <c r="BH33" i="3"/>
  <c r="BH34" i="3" s="1"/>
  <c r="BM28" i="3"/>
  <c r="W33" i="3"/>
  <c r="W34" i="3" s="1"/>
  <c r="BS154" i="3" l="1"/>
  <c r="BM24" i="3"/>
  <c r="BM38" i="3"/>
  <c r="B158" i="3"/>
  <c r="BS153" i="3"/>
  <c r="BS158" i="3" s="1"/>
  <c r="BM153" i="3"/>
  <c r="AX54" i="3"/>
  <c r="B159" i="3"/>
  <c r="BO120" i="3"/>
  <c r="BS159" i="3"/>
  <c r="BM159" i="3"/>
  <c r="BO159" i="3" s="1"/>
  <c r="C86" i="9"/>
  <c r="CA84" i="9"/>
  <c r="BS33" i="3"/>
  <c r="BS34" i="3" s="1"/>
  <c r="BO131" i="3"/>
  <c r="BO85" i="3"/>
  <c r="BS99" i="3"/>
  <c r="AP34" i="3"/>
  <c r="AP133" i="3" s="1"/>
  <c r="BS137" i="3"/>
  <c r="A185" i="1"/>
  <c r="B185" i="1"/>
  <c r="BV185" i="1"/>
  <c r="BU185" i="1"/>
  <c r="BT185" i="1"/>
  <c r="BS185" i="1"/>
  <c r="BR185" i="1"/>
  <c r="BQ185" i="1"/>
  <c r="BP185" i="1"/>
  <c r="BO185" i="1"/>
  <c r="BN185" i="1"/>
  <c r="BM185" i="1"/>
  <c r="BL185" i="1"/>
  <c r="BK185" i="1"/>
  <c r="BJ185" i="1"/>
  <c r="BI185" i="1"/>
  <c r="BH185" i="1"/>
  <c r="BG185" i="1"/>
  <c r="BF185" i="1"/>
  <c r="BA185" i="1"/>
  <c r="AZ185" i="1"/>
  <c r="AY185" i="1"/>
  <c r="AW185" i="1"/>
  <c r="AV185" i="1"/>
  <c r="AS185" i="1"/>
  <c r="AQ185" i="1"/>
  <c r="AP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L94" i="3"/>
  <c r="BL160" i="3" s="1"/>
  <c r="BL161" i="3" s="1"/>
  <c r="BL162" i="3" s="1"/>
  <c r="BK94" i="3"/>
  <c r="BK160" i="3" s="1"/>
  <c r="BK161" i="3" s="1"/>
  <c r="BK162" i="3" s="1"/>
  <c r="BJ94" i="3"/>
  <c r="BJ160" i="3" s="1"/>
  <c r="BJ161" i="3" s="1"/>
  <c r="BJ162" i="3" s="1"/>
  <c r="BI94" i="3"/>
  <c r="BI160" i="3" s="1"/>
  <c r="BI161" i="3" s="1"/>
  <c r="BI162" i="3" s="1"/>
  <c r="BH94" i="3"/>
  <c r="BH160" i="3" s="1"/>
  <c r="BH161" i="3" s="1"/>
  <c r="BH162" i="3" s="1"/>
  <c r="BG94" i="3"/>
  <c r="BG160" i="3" s="1"/>
  <c r="BG161" i="3" s="1"/>
  <c r="BG162" i="3" s="1"/>
  <c r="BF94" i="3"/>
  <c r="BF160" i="3" s="1"/>
  <c r="BF161" i="3" s="1"/>
  <c r="BF162" i="3" s="1"/>
  <c r="BE94" i="3"/>
  <c r="BE160" i="3" s="1"/>
  <c r="BE161" i="3" s="1"/>
  <c r="BE162" i="3" s="1"/>
  <c r="BD94" i="3"/>
  <c r="BD160" i="3" s="1"/>
  <c r="BD161" i="3" s="1"/>
  <c r="BD162" i="3" s="1"/>
  <c r="BC94" i="3"/>
  <c r="BC160" i="3" s="1"/>
  <c r="BC161" i="3" s="1"/>
  <c r="BC162" i="3" s="1"/>
  <c r="BB94" i="3"/>
  <c r="BB160" i="3" s="1"/>
  <c r="BB161" i="3" s="1"/>
  <c r="BB162" i="3" s="1"/>
  <c r="BA94" i="3"/>
  <c r="BA160" i="3" s="1"/>
  <c r="BA161" i="3" s="1"/>
  <c r="AZ94" i="3"/>
  <c r="AZ160" i="3" s="1"/>
  <c r="AZ161" i="3" s="1"/>
  <c r="AZ162" i="3" s="1"/>
  <c r="AY94" i="3"/>
  <c r="AQ94" i="3"/>
  <c r="AP94" i="3"/>
  <c r="BZ170" i="1"/>
  <c r="B171" i="1"/>
  <c r="BZ182" i="1"/>
  <c r="BZ183" i="1"/>
  <c r="A186" i="1" s="1"/>
  <c r="C133" i="3" l="1"/>
  <c r="C146" i="3" s="1"/>
  <c r="BO153" i="3"/>
  <c r="BM158" i="3"/>
  <c r="AY160" i="3"/>
  <c r="AX94" i="3"/>
  <c r="BS133" i="3"/>
  <c r="BM133" i="3"/>
  <c r="BO133" i="3" s="1"/>
  <c r="CB63" i="9"/>
  <c r="CB65" i="9"/>
  <c r="CC65" i="9" s="1"/>
  <c r="CB64" i="9"/>
  <c r="CC64" i="9" s="1"/>
  <c r="CB68" i="9"/>
  <c r="CB69" i="9"/>
  <c r="CC69" i="9" s="1"/>
  <c r="CA86" i="9"/>
  <c r="CC86" i="9" s="1"/>
  <c r="CC84" i="9"/>
  <c r="BA162" i="3"/>
  <c r="BM137" i="3"/>
  <c r="AP146" i="3"/>
  <c r="BV186" i="1"/>
  <c r="BV189" i="1" s="1"/>
  <c r="BU186" i="1"/>
  <c r="BU189" i="1" s="1"/>
  <c r="BT186" i="1"/>
  <c r="BT189" i="1" s="1"/>
  <c r="BS186" i="1"/>
  <c r="BS189" i="1" s="1"/>
  <c r="BR186" i="1"/>
  <c r="BR189" i="1" s="1"/>
  <c r="BQ186" i="1"/>
  <c r="BQ189" i="1" s="1"/>
  <c r="BP186" i="1"/>
  <c r="BP189" i="1" s="1"/>
  <c r="BO186" i="1"/>
  <c r="BO189" i="1" s="1"/>
  <c r="BN186" i="1"/>
  <c r="BN189" i="1" s="1"/>
  <c r="BM186" i="1"/>
  <c r="BM189" i="1" s="1"/>
  <c r="BL186" i="1"/>
  <c r="BL189" i="1" s="1"/>
  <c r="BK186" i="1"/>
  <c r="BK189" i="1" s="1"/>
  <c r="BJ186" i="1"/>
  <c r="BJ189" i="1" s="1"/>
  <c r="BI186" i="1"/>
  <c r="BI189" i="1" s="1"/>
  <c r="BH186" i="1"/>
  <c r="BH189" i="1" s="1"/>
  <c r="BG186" i="1"/>
  <c r="BG189" i="1" s="1"/>
  <c r="BF186" i="1"/>
  <c r="BF189" i="1" s="1"/>
  <c r="BA186" i="1"/>
  <c r="BA189" i="1" s="1"/>
  <c r="AZ186" i="1"/>
  <c r="AZ189" i="1" s="1"/>
  <c r="AY186" i="1"/>
  <c r="AY189" i="1" s="1"/>
  <c r="AW186" i="1"/>
  <c r="AW189" i="1" s="1"/>
  <c r="AV186" i="1"/>
  <c r="AV189" i="1" s="1"/>
  <c r="AS186" i="1"/>
  <c r="AS189" i="1" s="1"/>
  <c r="AQ186" i="1"/>
  <c r="AQ189" i="1" s="1"/>
  <c r="AP186" i="1"/>
  <c r="AP189" i="1" s="1"/>
  <c r="C186" i="1"/>
  <c r="C189" i="1" s="1"/>
  <c r="D186" i="1"/>
  <c r="D189" i="1" s="1"/>
  <c r="E186" i="1"/>
  <c r="E189" i="1" s="1"/>
  <c r="F186" i="1"/>
  <c r="F189" i="1" s="1"/>
  <c r="G186" i="1"/>
  <c r="G189" i="1" s="1"/>
  <c r="H186" i="1"/>
  <c r="H189" i="1" s="1"/>
  <c r="I186" i="1"/>
  <c r="I189" i="1" s="1"/>
  <c r="J186" i="1"/>
  <c r="J189" i="1" s="1"/>
  <c r="K186" i="1"/>
  <c r="K189" i="1" s="1"/>
  <c r="L186" i="1"/>
  <c r="L189" i="1" s="1"/>
  <c r="M186" i="1"/>
  <c r="M189" i="1" s="1"/>
  <c r="N186" i="1"/>
  <c r="N189" i="1" s="1"/>
  <c r="O186" i="1"/>
  <c r="O189" i="1" s="1"/>
  <c r="P186" i="1"/>
  <c r="P189" i="1" s="1"/>
  <c r="Q186" i="1"/>
  <c r="Q189" i="1" s="1"/>
  <c r="R186" i="1"/>
  <c r="R189" i="1" s="1"/>
  <c r="S186" i="1"/>
  <c r="S189" i="1" s="1"/>
  <c r="T186" i="1"/>
  <c r="T189" i="1" s="1"/>
  <c r="U186" i="1"/>
  <c r="U189" i="1" s="1"/>
  <c r="V186" i="1"/>
  <c r="V189" i="1" s="1"/>
  <c r="W186" i="1"/>
  <c r="W189" i="1" s="1"/>
  <c r="X186" i="1"/>
  <c r="X189" i="1" s="1"/>
  <c r="Y186" i="1"/>
  <c r="Y189" i="1" s="1"/>
  <c r="Z186" i="1"/>
  <c r="Z189" i="1" s="1"/>
  <c r="AA186" i="1"/>
  <c r="AA189" i="1" s="1"/>
  <c r="AB186" i="1"/>
  <c r="AB189" i="1" s="1"/>
  <c r="AC186" i="1"/>
  <c r="AC189" i="1" s="1"/>
  <c r="AD186" i="1"/>
  <c r="AD189" i="1" s="1"/>
  <c r="AE186" i="1"/>
  <c r="AE189" i="1" s="1"/>
  <c r="AF186" i="1"/>
  <c r="AF189" i="1" s="1"/>
  <c r="AG186" i="1"/>
  <c r="AG189" i="1" s="1"/>
  <c r="AH186" i="1"/>
  <c r="AH189" i="1" s="1"/>
  <c r="B186" i="1"/>
  <c r="BZ185" i="1"/>
  <c r="BZ171" i="1"/>
  <c r="A171" i="1"/>
  <c r="CE171" i="1"/>
  <c r="BM146" i="3" l="1"/>
  <c r="AY161" i="3"/>
  <c r="AX160" i="3"/>
  <c r="C17" i="2"/>
  <c r="F12" i="2"/>
  <c r="G12" i="2" s="1"/>
  <c r="CB70" i="9"/>
  <c r="CC70" i="9" s="1"/>
  <c r="CC68" i="9"/>
  <c r="CB66" i="9"/>
  <c r="CC66" i="9" s="1"/>
  <c r="CC63" i="9"/>
  <c r="BO69" i="3"/>
  <c r="BO68" i="3"/>
  <c r="BS70" i="3"/>
  <c r="BO63" i="3"/>
  <c r="BS66" i="3"/>
  <c r="BO137" i="3"/>
  <c r="BS146" i="3" s="1"/>
  <c r="BO146" i="3"/>
  <c r="BV172" i="1"/>
  <c r="BU172" i="1"/>
  <c r="BT172" i="1"/>
  <c r="BS172" i="1"/>
  <c r="BR172" i="1"/>
  <c r="BQ172" i="1"/>
  <c r="BP172" i="1"/>
  <c r="BO172" i="1"/>
  <c r="BN172" i="1"/>
  <c r="BM172" i="1"/>
  <c r="BL172" i="1"/>
  <c r="BK172" i="1"/>
  <c r="BJ172" i="1"/>
  <c r="BI172" i="1"/>
  <c r="BH172" i="1"/>
  <c r="BG172" i="1"/>
  <c r="BF172" i="1"/>
  <c r="BA172" i="1"/>
  <c r="AZ172" i="1"/>
  <c r="AY172" i="1"/>
  <c r="AW172" i="1"/>
  <c r="AV172" i="1"/>
  <c r="AS172" i="1"/>
  <c r="AQ172" i="1"/>
  <c r="AP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BZ172" i="1" s="1"/>
  <c r="A173" i="1"/>
  <c r="BZ186" i="1"/>
  <c r="B189" i="1"/>
  <c r="BZ189" i="1" s="1"/>
  <c r="BO70" i="3"/>
  <c r="AY162" i="3" l="1"/>
  <c r="AX162" i="3" s="1"/>
  <c r="AX161" i="3"/>
  <c r="C34" i="2"/>
  <c r="C33" i="2"/>
  <c r="F17" i="2"/>
  <c r="BZ203" i="1"/>
  <c r="G17" i="2" l="1"/>
  <c r="C170" i="2"/>
  <c r="F170" i="2" s="1"/>
  <c r="G170" i="2" s="1"/>
  <c r="C169" i="2"/>
  <c r="F169" i="2" s="1"/>
  <c r="G169" i="2" s="1"/>
  <c r="F34" i="2"/>
  <c r="G34" i="2" s="1"/>
  <c r="BM87" i="3"/>
  <c r="H89" i="3"/>
  <c r="BO88" i="3" l="1"/>
  <c r="BO87" i="3"/>
  <c r="BS89" i="3"/>
  <c r="BM89" i="3"/>
  <c r="BO89" i="3" s="1"/>
  <c r="G7" i="6" l="1"/>
  <c r="AY7" i="6" s="1"/>
  <c r="AX7" i="6" l="1"/>
  <c r="AP7" i="6"/>
  <c r="AQ7" i="6"/>
  <c r="AS7" i="6"/>
  <c r="AR7" i="6"/>
  <c r="AT7" i="6"/>
  <c r="AO7" i="6"/>
  <c r="AV7" i="6"/>
  <c r="AU7" i="6"/>
  <c r="AW7" i="6"/>
  <c r="AD7" i="6"/>
  <c r="AE7" i="6"/>
  <c r="H7" i="6"/>
  <c r="AN7" i="6"/>
  <c r="AM7" i="6"/>
  <c r="AL7" i="6"/>
  <c r="AK7" i="6"/>
  <c r="AJ7" i="6"/>
  <c r="AI7" i="6"/>
  <c r="AH7" i="6"/>
  <c r="AG7" i="6"/>
  <c r="AC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Z7" i="6"/>
  <c r="AA7" i="6"/>
  <c r="AB7" i="6"/>
  <c r="AF7" i="6"/>
  <c r="AZ7" i="6" l="1"/>
  <c r="BA7" i="6"/>
  <c r="BL269" i="3" l="1"/>
  <c r="BK269" i="3"/>
  <c r="BJ269" i="3"/>
  <c r="BI269" i="3"/>
  <c r="BH269" i="3"/>
  <c r="BG269" i="3"/>
  <c r="BF269" i="3"/>
  <c r="BE269" i="3"/>
  <c r="BD269" i="3"/>
  <c r="BC269" i="3"/>
  <c r="BB269" i="3"/>
  <c r="BA269" i="3"/>
  <c r="AZ269" i="3"/>
  <c r="AY269" i="3"/>
  <c r="AV269" i="3"/>
  <c r="AU269" i="3"/>
  <c r="AT269" i="3"/>
  <c r="AS269" i="3"/>
  <c r="AR269" i="3"/>
  <c r="AQ269" i="3"/>
  <c r="AP269" i="3"/>
  <c r="AF269" i="3"/>
  <c r="AE269" i="3"/>
  <c r="AB269" i="3"/>
  <c r="AA269" i="3"/>
  <c r="Z269" i="3"/>
  <c r="Y269" i="3"/>
  <c r="X269" i="3"/>
  <c r="W269" i="3"/>
  <c r="V269" i="3"/>
  <c r="U269" i="3"/>
  <c r="T269" i="3"/>
  <c r="S269" i="3"/>
  <c r="R269" i="3"/>
  <c r="Q269" i="3"/>
  <c r="P269" i="3"/>
  <c r="O269" i="3"/>
  <c r="N269" i="3"/>
  <c r="M269" i="3"/>
  <c r="L269" i="3"/>
  <c r="K269" i="3"/>
  <c r="J269" i="3"/>
  <c r="I269" i="3"/>
  <c r="G269" i="3"/>
  <c r="H269" i="3"/>
  <c r="BM271" i="3"/>
  <c r="O52" i="4"/>
  <c r="O71" i="4" s="1"/>
  <c r="P52" i="4" l="1"/>
  <c r="P71" i="4" s="1"/>
  <c r="Q52" i="4" l="1"/>
  <c r="Q71" i="4" s="1"/>
  <c r="S52" i="4" l="1"/>
  <c r="S71" i="4" s="1"/>
  <c r="R52" i="4"/>
  <c r="R71" i="4" s="1"/>
  <c r="T52" i="4" l="1"/>
  <c r="T71" i="4" s="1"/>
  <c r="G56" i="6" l="1"/>
  <c r="AY56" i="6" s="1"/>
  <c r="AY76" i="6" s="1"/>
  <c r="AS56" i="6" l="1"/>
  <c r="AT56" i="6"/>
  <c r="AU56" i="6"/>
  <c r="AV56" i="6"/>
  <c r="AW56" i="6"/>
  <c r="AQ56" i="6"/>
  <c r="AQ76" i="6" s="1"/>
  <c r="AP37" i="3" s="1"/>
  <c r="AX56" i="6"/>
  <c r="AR56" i="6"/>
  <c r="AR76" i="6" s="1"/>
  <c r="AQ37" i="3" s="1"/>
  <c r="AO56" i="6"/>
  <c r="AP56" i="6"/>
  <c r="AP76" i="6" s="1"/>
  <c r="AO37" i="3" s="1"/>
  <c r="AO76" i="6"/>
  <c r="AN37" i="3" s="1"/>
  <c r="AW76" i="6"/>
  <c r="AV37" i="3" s="1"/>
  <c r="AX76" i="6"/>
  <c r="AD56" i="6"/>
  <c r="AD76" i="6" s="1"/>
  <c r="AC37" i="3" s="1"/>
  <c r="AE56" i="6"/>
  <c r="AE76" i="6" s="1"/>
  <c r="AD37" i="3" s="1"/>
  <c r="AK56" i="6"/>
  <c r="AK76" i="6" s="1"/>
  <c r="AJ37" i="3" s="1"/>
  <c r="AF56" i="6"/>
  <c r="AF76" i="6" s="1"/>
  <c r="AE37" i="3" s="1"/>
  <c r="W56" i="6"/>
  <c r="W76" i="6" s="1"/>
  <c r="V37" i="3" s="1"/>
  <c r="AN56" i="6"/>
  <c r="AN76" i="6" s="1"/>
  <c r="AM37" i="3" s="1"/>
  <c r="P56" i="6"/>
  <c r="P76" i="6" s="1"/>
  <c r="O37" i="3" s="1"/>
  <c r="AT76" i="6"/>
  <c r="AS37" i="3" s="1"/>
  <c r="AB56" i="6"/>
  <c r="AB76" i="6" s="1"/>
  <c r="AA37" i="3" s="1"/>
  <c r="O56" i="6"/>
  <c r="O76" i="6" s="1"/>
  <c r="N37" i="3" s="1"/>
  <c r="AH56" i="6"/>
  <c r="AH76" i="6" s="1"/>
  <c r="AG37" i="3" s="1"/>
  <c r="M56" i="6"/>
  <c r="M76" i="6" s="1"/>
  <c r="L37" i="3" s="1"/>
  <c r="AI56" i="6"/>
  <c r="AI76" i="6" s="1"/>
  <c r="AH37" i="3" s="1"/>
  <c r="U56" i="6"/>
  <c r="U76" i="6" s="1"/>
  <c r="T37" i="3" s="1"/>
  <c r="AM56" i="6"/>
  <c r="AM76" i="6" s="1"/>
  <c r="AL37" i="3" s="1"/>
  <c r="V56" i="6"/>
  <c r="V76" i="6" s="1"/>
  <c r="U37" i="3" s="1"/>
  <c r="L56" i="6"/>
  <c r="L76" i="6" s="1"/>
  <c r="K37" i="3" s="1"/>
  <c r="R56" i="6"/>
  <c r="R76" i="6" s="1"/>
  <c r="Q37" i="3" s="1"/>
  <c r="J56" i="6"/>
  <c r="J76" i="6" s="1"/>
  <c r="I37" i="3" s="1"/>
  <c r="I56" i="6"/>
  <c r="I76" i="6" s="1"/>
  <c r="H37" i="3" s="1"/>
  <c r="G76" i="6"/>
  <c r="Y56" i="6"/>
  <c r="Y76" i="6" s="1"/>
  <c r="X37" i="3" s="1"/>
  <c r="N56" i="6"/>
  <c r="N76" i="6" s="1"/>
  <c r="M37" i="3" s="1"/>
  <c r="Z56" i="6"/>
  <c r="Z76" i="6" s="1"/>
  <c r="Y37" i="3" s="1"/>
  <c r="AV76" i="6"/>
  <c r="AU37" i="3" s="1"/>
  <c r="AL56" i="6"/>
  <c r="AL76" i="6" s="1"/>
  <c r="AK37" i="3" s="1"/>
  <c r="AJ56" i="6"/>
  <c r="AJ76" i="6" s="1"/>
  <c r="AI37" i="3" s="1"/>
  <c r="T56" i="6"/>
  <c r="T76" i="6" s="1"/>
  <c r="S37" i="3" s="1"/>
  <c r="S56" i="6"/>
  <c r="S76" i="6" s="1"/>
  <c r="R37" i="3" s="1"/>
  <c r="AU76" i="6"/>
  <c r="AT37" i="3" s="1"/>
  <c r="AG56" i="6"/>
  <c r="AG76" i="6" s="1"/>
  <c r="AF37" i="3" s="1"/>
  <c r="AA56" i="6"/>
  <c r="AA76" i="6" s="1"/>
  <c r="Z37" i="3" s="1"/>
  <c r="H56" i="6"/>
  <c r="AS76" i="6"/>
  <c r="AR37" i="3" s="1"/>
  <c r="AC56" i="6"/>
  <c r="AC76" i="6" s="1"/>
  <c r="AB37" i="3" s="1"/>
  <c r="Q56" i="6"/>
  <c r="Q76" i="6" s="1"/>
  <c r="P37" i="3" s="1"/>
  <c r="X56" i="6"/>
  <c r="X76" i="6" s="1"/>
  <c r="W37" i="3" s="1"/>
  <c r="K56" i="6"/>
  <c r="K76" i="6" s="1"/>
  <c r="J37" i="3" s="1"/>
  <c r="AZ56" i="6" l="1"/>
  <c r="AQ42" i="3"/>
  <c r="AQ44" i="3" s="1"/>
  <c r="AQ40" i="3"/>
  <c r="AP42" i="3"/>
  <c r="AP44" i="3" s="1"/>
  <c r="AP52" i="3"/>
  <c r="AP40" i="3"/>
  <c r="AO42" i="3"/>
  <c r="AO44" i="3" s="1"/>
  <c r="AO81" i="3"/>
  <c r="AO52" i="3"/>
  <c r="C52" i="3" s="1"/>
  <c r="AO40" i="3"/>
  <c r="AK42" i="3"/>
  <c r="AK44" i="3" s="1"/>
  <c r="AK40" i="3"/>
  <c r="AL42" i="3"/>
  <c r="AL44" i="3" s="1"/>
  <c r="AL40" i="3"/>
  <c r="AM42" i="3"/>
  <c r="AM44" i="3" s="1"/>
  <c r="AM40" i="3"/>
  <c r="AJ42" i="3"/>
  <c r="AJ44" i="3" s="1"/>
  <c r="AJ40" i="3"/>
  <c r="AN42" i="3"/>
  <c r="AN44" i="3" s="1"/>
  <c r="AN40" i="3"/>
  <c r="AI42" i="3"/>
  <c r="AI44" i="3" s="1"/>
  <c r="AI40" i="3"/>
  <c r="AV52" i="3"/>
  <c r="AV42" i="3"/>
  <c r="AV44" i="3" s="1"/>
  <c r="AV40" i="3"/>
  <c r="AD40" i="3"/>
  <c r="AD42" i="3"/>
  <c r="AD44" i="3" s="1"/>
  <c r="AC40" i="3"/>
  <c r="AC42" i="3"/>
  <c r="AC44" i="3" s="1"/>
  <c r="S37" i="9"/>
  <c r="AX37" i="9"/>
  <c r="AE37" i="9"/>
  <c r="I37" i="9"/>
  <c r="N37" i="9"/>
  <c r="O37" i="9"/>
  <c r="AG37" i="9"/>
  <c r="F37" i="9"/>
  <c r="Y37" i="9"/>
  <c r="AW37" i="9"/>
  <c r="T37" i="9"/>
  <c r="Z37" i="9"/>
  <c r="AC37" i="9"/>
  <c r="R37" i="9"/>
  <c r="H37" i="9"/>
  <c r="Q37" i="9"/>
  <c r="BA37" i="9"/>
  <c r="W37" i="9"/>
  <c r="AB37" i="9"/>
  <c r="H76" i="6"/>
  <c r="BI37" i="9"/>
  <c r="P37" i="9"/>
  <c r="AZ37" i="9"/>
  <c r="AH37" i="9"/>
  <c r="AQ37" i="9"/>
  <c r="J37" i="9"/>
  <c r="AA37" i="9"/>
  <c r="L37" i="9"/>
  <c r="X37" i="9"/>
  <c r="K37" i="9"/>
  <c r="D37" i="9"/>
  <c r="E37" i="9"/>
  <c r="V37" i="9"/>
  <c r="M37" i="9"/>
  <c r="G37" i="9"/>
  <c r="AD37" i="9"/>
  <c r="U37" i="9"/>
  <c r="AP81" i="3" l="1"/>
  <c r="AQ81" i="3"/>
  <c r="X42" i="3"/>
  <c r="X44" i="3" s="1"/>
  <c r="AG42" i="3"/>
  <c r="AG44" i="3" s="1"/>
  <c r="AG40" i="3"/>
  <c r="AH42" i="3"/>
  <c r="AH44" i="3" s="1"/>
  <c r="AH40" i="3"/>
  <c r="U46" i="9"/>
  <c r="U49" i="9"/>
  <c r="U48" i="9"/>
  <c r="U51" i="9"/>
  <c r="U43" i="9"/>
  <c r="U52" i="9"/>
  <c r="U42" i="9"/>
  <c r="U50" i="9"/>
  <c r="U47" i="9"/>
  <c r="U38" i="9"/>
  <c r="U40" i="9" s="1"/>
  <c r="R42" i="3"/>
  <c r="R44" i="3" s="1"/>
  <c r="R40" i="3"/>
  <c r="E51" i="9"/>
  <c r="E43" i="9"/>
  <c r="E38" i="9"/>
  <c r="E40" i="9" s="1"/>
  <c r="E50" i="9"/>
  <c r="E48" i="9"/>
  <c r="E47" i="9"/>
  <c r="E42" i="9"/>
  <c r="E52" i="9"/>
  <c r="E46" i="9"/>
  <c r="E49" i="9"/>
  <c r="H52" i="9"/>
  <c r="H47" i="9"/>
  <c r="H51" i="9"/>
  <c r="H42" i="9"/>
  <c r="H38" i="9"/>
  <c r="H40" i="9" s="1"/>
  <c r="H49" i="9"/>
  <c r="H46" i="9"/>
  <c r="H50" i="9"/>
  <c r="H48" i="9"/>
  <c r="H43" i="9"/>
  <c r="AR40" i="3"/>
  <c r="AR42" i="3"/>
  <c r="AR44" i="3" s="1"/>
  <c r="M42" i="3"/>
  <c r="M44" i="3" s="1"/>
  <c r="M40" i="3"/>
  <c r="I47" i="9"/>
  <c r="I42" i="9"/>
  <c r="I50" i="9"/>
  <c r="I49" i="9"/>
  <c r="I38" i="9"/>
  <c r="I40" i="9" s="1"/>
  <c r="I46" i="9"/>
  <c r="I48" i="9"/>
  <c r="I52" i="9"/>
  <c r="I51" i="9"/>
  <c r="I43" i="9"/>
  <c r="AZ76" i="6"/>
  <c r="H78" i="6" s="1"/>
  <c r="BA56" i="6"/>
  <c r="BA76" i="6" s="1"/>
  <c r="G52" i="9"/>
  <c r="G43" i="9"/>
  <c r="G51" i="9"/>
  <c r="G50" i="9"/>
  <c r="G46" i="9"/>
  <c r="G42" i="9"/>
  <c r="G38" i="9"/>
  <c r="G40" i="9" s="1"/>
  <c r="G49" i="9"/>
  <c r="G48" i="9"/>
  <c r="G47" i="9"/>
  <c r="R38" i="9"/>
  <c r="R40" i="9" s="1"/>
  <c r="R46" i="9"/>
  <c r="R49" i="9"/>
  <c r="R42" i="9"/>
  <c r="R47" i="9"/>
  <c r="R43" i="9"/>
  <c r="R52" i="9"/>
  <c r="R51" i="9"/>
  <c r="R50" i="9"/>
  <c r="R48" i="9"/>
  <c r="F48" i="9"/>
  <c r="F42" i="9"/>
  <c r="F46" i="9"/>
  <c r="F43" i="9"/>
  <c r="F47" i="9"/>
  <c r="F52" i="9"/>
  <c r="F51" i="9"/>
  <c r="F50" i="9"/>
  <c r="F49" i="9"/>
  <c r="F38" i="9"/>
  <c r="F40" i="9" s="1"/>
  <c r="AE51" i="9"/>
  <c r="AE50" i="9"/>
  <c r="AE47" i="9"/>
  <c r="AE43" i="9"/>
  <c r="AE42" i="9"/>
  <c r="AE52" i="9"/>
  <c r="AE46" i="9"/>
  <c r="AE49" i="9"/>
  <c r="AE48" i="9"/>
  <c r="AE38" i="9"/>
  <c r="AE40" i="9" s="1"/>
  <c r="I40" i="3"/>
  <c r="I42" i="3"/>
  <c r="I44" i="3" s="1"/>
  <c r="AA42" i="3"/>
  <c r="AA44" i="3" s="1"/>
  <c r="AA40" i="3"/>
  <c r="H42" i="3"/>
  <c r="H40" i="3"/>
  <c r="AH51" i="9"/>
  <c r="AH42" i="9"/>
  <c r="AH49" i="9"/>
  <c r="AH48" i="9"/>
  <c r="AH52" i="9"/>
  <c r="AH50" i="9"/>
  <c r="AH47" i="9"/>
  <c r="AH43" i="9"/>
  <c r="AH46" i="9"/>
  <c r="AH38" i="9"/>
  <c r="AH40" i="9" s="1"/>
  <c r="Y42" i="3"/>
  <c r="Y44" i="3" s="1"/>
  <c r="Y40" i="3"/>
  <c r="AW49" i="9"/>
  <c r="AW43" i="9"/>
  <c r="AW46" i="9"/>
  <c r="AW52" i="9"/>
  <c r="AW51" i="9"/>
  <c r="AW50" i="9"/>
  <c r="AW48" i="9"/>
  <c r="AW42" i="9"/>
  <c r="AW47" i="9"/>
  <c r="AW38" i="9"/>
  <c r="AW40" i="9" s="1"/>
  <c r="N38" i="9"/>
  <c r="N40" i="9" s="1"/>
  <c r="N46" i="9"/>
  <c r="N49" i="9"/>
  <c r="N48" i="9"/>
  <c r="N47" i="9"/>
  <c r="N42" i="9"/>
  <c r="N51" i="9"/>
  <c r="N50" i="9"/>
  <c r="N43" i="9"/>
  <c r="N52" i="9"/>
  <c r="AQ50" i="9"/>
  <c r="AQ42" i="9"/>
  <c r="AQ46" i="9"/>
  <c r="AQ47" i="9"/>
  <c r="AQ38" i="9"/>
  <c r="AQ40" i="9" s="1"/>
  <c r="AQ49" i="9"/>
  <c r="AQ48" i="9"/>
  <c r="AQ43" i="9"/>
  <c r="AQ52" i="9"/>
  <c r="AQ51" i="9"/>
  <c r="C37" i="9"/>
  <c r="G37" i="3"/>
  <c r="C37" i="3" s="1"/>
  <c r="AB46" i="9"/>
  <c r="AB47" i="9"/>
  <c r="AB52" i="9"/>
  <c r="AB49" i="9"/>
  <c r="AB42" i="9"/>
  <c r="AB51" i="9"/>
  <c r="AB38" i="9"/>
  <c r="AB40" i="9" s="1"/>
  <c r="AB50" i="9"/>
  <c r="AB43" i="9"/>
  <c r="AB48" i="9"/>
  <c r="K42" i="3"/>
  <c r="K44" i="3" s="1"/>
  <c r="K40" i="3"/>
  <c r="AB40" i="3"/>
  <c r="AB42" i="3"/>
  <c r="AX46" i="9"/>
  <c r="AX49" i="9"/>
  <c r="AX47" i="9"/>
  <c r="AX42" i="9"/>
  <c r="AX51" i="9"/>
  <c r="AX38" i="9"/>
  <c r="AX40" i="9" s="1"/>
  <c r="AX52" i="9"/>
  <c r="AX50" i="9"/>
  <c r="AX48" i="9"/>
  <c r="AX43" i="9"/>
  <c r="Q43" i="9"/>
  <c r="Q38" i="9"/>
  <c r="Q40" i="9" s="1"/>
  <c r="Q46" i="9"/>
  <c r="Q52" i="9"/>
  <c r="Q51" i="9"/>
  <c r="Q48" i="9"/>
  <c r="Q50" i="9"/>
  <c r="Q49" i="9"/>
  <c r="Q47" i="9"/>
  <c r="Q42" i="9"/>
  <c r="U40" i="3"/>
  <c r="U42" i="3"/>
  <c r="U44" i="3" s="1"/>
  <c r="M48" i="9"/>
  <c r="M42" i="9"/>
  <c r="M51" i="9"/>
  <c r="M49" i="9"/>
  <c r="M38" i="9"/>
  <c r="M40" i="9" s="1"/>
  <c r="M47" i="9"/>
  <c r="M50" i="9"/>
  <c r="M52" i="9"/>
  <c r="M43" i="9"/>
  <c r="M46" i="9"/>
  <c r="J49" i="9"/>
  <c r="J46" i="9"/>
  <c r="J48" i="9"/>
  <c r="J47" i="9"/>
  <c r="J43" i="9"/>
  <c r="J38" i="9"/>
  <c r="J40" i="9" s="1"/>
  <c r="J52" i="9"/>
  <c r="J42" i="9"/>
  <c r="J51" i="9"/>
  <c r="J50" i="9"/>
  <c r="N42" i="3"/>
  <c r="N44" i="3" s="1"/>
  <c r="N40" i="3"/>
  <c r="BI52" i="9"/>
  <c r="BI51" i="9"/>
  <c r="BI43" i="9"/>
  <c r="BI50" i="9"/>
  <c r="BI48" i="9"/>
  <c r="BI47" i="9"/>
  <c r="BI46" i="9"/>
  <c r="BI38" i="9"/>
  <c r="BI40" i="9" s="1"/>
  <c r="BI49" i="9"/>
  <c r="BI42" i="9"/>
  <c r="Y49" i="9"/>
  <c r="Y47" i="9"/>
  <c r="Y51" i="9"/>
  <c r="Y43" i="9"/>
  <c r="Y50" i="9"/>
  <c r="Y42" i="9"/>
  <c r="Y38" i="9"/>
  <c r="Y40" i="9" s="1"/>
  <c r="Y52" i="9"/>
  <c r="Y48" i="9"/>
  <c r="Y46" i="9"/>
  <c r="X49" i="9"/>
  <c r="X42" i="9"/>
  <c r="X50" i="9"/>
  <c r="X48" i="9"/>
  <c r="X43" i="9"/>
  <c r="X51" i="9"/>
  <c r="X38" i="9"/>
  <c r="X40" i="9" s="1"/>
  <c r="X52" i="9"/>
  <c r="X46" i="9"/>
  <c r="X47" i="9"/>
  <c r="X40" i="3"/>
  <c r="P42" i="3"/>
  <c r="P44" i="3" s="1"/>
  <c r="P40" i="3"/>
  <c r="AT42" i="3"/>
  <c r="AT44" i="3" s="1"/>
  <c r="AT40" i="3"/>
  <c r="Z42" i="3"/>
  <c r="Z44" i="3" s="1"/>
  <c r="Z40" i="3"/>
  <c r="V40" i="3"/>
  <c r="V42" i="3"/>
  <c r="V44" i="3" s="1"/>
  <c r="Z42" i="9"/>
  <c r="Z52" i="9"/>
  <c r="Z47" i="9"/>
  <c r="Z43" i="9"/>
  <c r="Z38" i="9"/>
  <c r="Z40" i="9" s="1"/>
  <c r="Z46" i="9"/>
  <c r="Z51" i="9"/>
  <c r="Z48" i="9"/>
  <c r="Z49" i="9"/>
  <c r="Z50" i="9"/>
  <c r="O49" i="9"/>
  <c r="O46" i="9"/>
  <c r="O42" i="9"/>
  <c r="O47" i="9"/>
  <c r="O50" i="9"/>
  <c r="O48" i="9"/>
  <c r="O38" i="9"/>
  <c r="O40" i="9" s="1"/>
  <c r="O43" i="9"/>
  <c r="O52" i="9"/>
  <c r="O51" i="9"/>
  <c r="L42" i="3"/>
  <c r="L44" i="3" s="1"/>
  <c r="L40" i="3"/>
  <c r="AD42" i="9"/>
  <c r="AD46" i="9"/>
  <c r="AD50" i="9"/>
  <c r="AD49" i="9"/>
  <c r="AD47" i="9"/>
  <c r="AD43" i="9"/>
  <c r="AD52" i="9"/>
  <c r="AD48" i="9"/>
  <c r="AD38" i="9"/>
  <c r="AD40" i="9" s="1"/>
  <c r="AD51" i="9"/>
  <c r="D43" i="9"/>
  <c r="D38" i="9"/>
  <c r="D40" i="9" s="1"/>
  <c r="D52" i="9"/>
  <c r="D46" i="9"/>
  <c r="D51" i="9"/>
  <c r="D50" i="9"/>
  <c r="D48" i="9"/>
  <c r="D49" i="9"/>
  <c r="D42" i="9"/>
  <c r="D47" i="9"/>
  <c r="K47" i="9"/>
  <c r="K52" i="9"/>
  <c r="K50" i="9"/>
  <c r="K46" i="9"/>
  <c r="K49" i="9"/>
  <c r="K38" i="9"/>
  <c r="K40" i="9" s="1"/>
  <c r="K48" i="9"/>
  <c r="K51" i="9"/>
  <c r="K42" i="9"/>
  <c r="K43" i="9"/>
  <c r="AC50" i="9"/>
  <c r="AC38" i="9"/>
  <c r="AC40" i="9" s="1"/>
  <c r="AC52" i="9"/>
  <c r="AC51" i="9"/>
  <c r="AC42" i="9"/>
  <c r="AC46" i="9"/>
  <c r="AC43" i="9"/>
  <c r="AC49" i="9"/>
  <c r="AC47" i="9"/>
  <c r="AC48" i="9"/>
  <c r="W40" i="3"/>
  <c r="W42" i="3"/>
  <c r="W44" i="3" s="1"/>
  <c r="W38" i="9"/>
  <c r="W40" i="9" s="1"/>
  <c r="W49" i="9"/>
  <c r="W48" i="9"/>
  <c r="W42" i="9"/>
  <c r="W46" i="9"/>
  <c r="W51" i="9"/>
  <c r="W43" i="9"/>
  <c r="W50" i="9"/>
  <c r="W47" i="9"/>
  <c r="W52" i="9"/>
  <c r="AG47" i="9"/>
  <c r="AG38" i="9"/>
  <c r="AG40" i="9" s="1"/>
  <c r="AG46" i="9"/>
  <c r="AG42" i="9"/>
  <c r="AG43" i="9"/>
  <c r="AG52" i="9"/>
  <c r="AG48" i="9"/>
  <c r="AG51" i="9"/>
  <c r="AG50" i="9"/>
  <c r="AG49" i="9"/>
  <c r="L46" i="9"/>
  <c r="L51" i="9"/>
  <c r="L52" i="9"/>
  <c r="L49" i="9"/>
  <c r="L50" i="9"/>
  <c r="L48" i="9"/>
  <c r="L42" i="9"/>
  <c r="L47" i="9"/>
  <c r="L43" i="9"/>
  <c r="L38" i="9"/>
  <c r="L40" i="9" s="1"/>
  <c r="AU40" i="3"/>
  <c r="AU42" i="3"/>
  <c r="AU44" i="3" s="1"/>
  <c r="V48" i="9"/>
  <c r="V52" i="9"/>
  <c r="V51" i="9"/>
  <c r="V50" i="9"/>
  <c r="V46" i="9"/>
  <c r="V47" i="9"/>
  <c r="V43" i="9"/>
  <c r="V42" i="9"/>
  <c r="V38" i="9"/>
  <c r="V40" i="9" s="1"/>
  <c r="V49" i="9"/>
  <c r="AA43" i="9"/>
  <c r="AA42" i="9"/>
  <c r="AA46" i="9"/>
  <c r="AA38" i="9"/>
  <c r="AA40" i="9" s="1"/>
  <c r="AA47" i="9"/>
  <c r="AA51" i="9"/>
  <c r="AA50" i="9"/>
  <c r="AA52" i="9"/>
  <c r="AA49" i="9"/>
  <c r="AA48" i="9"/>
  <c r="P38" i="9"/>
  <c r="P40" i="9" s="1"/>
  <c r="P52" i="9"/>
  <c r="P49" i="9"/>
  <c r="P43" i="9"/>
  <c r="P51" i="9"/>
  <c r="P42" i="9"/>
  <c r="P48" i="9"/>
  <c r="P47" i="9"/>
  <c r="P46" i="9"/>
  <c r="P50" i="9"/>
  <c r="BA50" i="9"/>
  <c r="BA48" i="9"/>
  <c r="BA47" i="9"/>
  <c r="BA38" i="9"/>
  <c r="BA40" i="9" s="1"/>
  <c r="BA46" i="9"/>
  <c r="BA42" i="9"/>
  <c r="BA52" i="9"/>
  <c r="BA51" i="9"/>
  <c r="BA49" i="9"/>
  <c r="BA43" i="9"/>
  <c r="T43" i="9"/>
  <c r="T42" i="9"/>
  <c r="T52" i="9"/>
  <c r="T51" i="9"/>
  <c r="T46" i="9"/>
  <c r="T50" i="9"/>
  <c r="T48" i="9"/>
  <c r="T38" i="9"/>
  <c r="T40" i="9" s="1"/>
  <c r="T49" i="9"/>
  <c r="T47" i="9"/>
  <c r="S42" i="3"/>
  <c r="S44" i="3" s="1"/>
  <c r="S40" i="3"/>
  <c r="S38" i="9"/>
  <c r="S40" i="9" s="1"/>
  <c r="S42" i="9"/>
  <c r="S52" i="9"/>
  <c r="S49" i="9"/>
  <c r="S46" i="9"/>
  <c r="S47" i="9"/>
  <c r="S51" i="9"/>
  <c r="S48" i="9"/>
  <c r="S43" i="9"/>
  <c r="S50" i="9"/>
  <c r="AF42" i="3"/>
  <c r="AF44" i="3" s="1"/>
  <c r="AF40" i="3"/>
  <c r="O42" i="3"/>
  <c r="O44" i="3" s="1"/>
  <c r="O40" i="3"/>
  <c r="J42" i="3"/>
  <c r="J44" i="3" s="1"/>
  <c r="J40" i="3"/>
  <c r="Q42" i="3"/>
  <c r="Q44" i="3" s="1"/>
  <c r="Q40" i="3"/>
  <c r="AZ38" i="9"/>
  <c r="AZ40" i="9" s="1"/>
  <c r="AZ42" i="9"/>
  <c r="AZ50" i="9"/>
  <c r="AZ46" i="9"/>
  <c r="AZ52" i="9"/>
  <c r="AZ49" i="9"/>
  <c r="AZ51" i="9"/>
  <c r="AZ47" i="9"/>
  <c r="AZ48" i="9"/>
  <c r="AZ43" i="9"/>
  <c r="AE40" i="3"/>
  <c r="AE42" i="3"/>
  <c r="AE44" i="3" s="1"/>
  <c r="AS40" i="3"/>
  <c r="AS42" i="3"/>
  <c r="AS44" i="3" s="1"/>
  <c r="T42" i="3"/>
  <c r="T44" i="3" s="1"/>
  <c r="T40" i="3"/>
  <c r="G97" i="3" l="1"/>
  <c r="G125" i="3"/>
  <c r="G113" i="3"/>
  <c r="G123" i="3"/>
  <c r="B37" i="3"/>
  <c r="C40" i="3"/>
  <c r="AB44" i="3"/>
  <c r="G107" i="3"/>
  <c r="G102" i="3"/>
  <c r="G98" i="3"/>
  <c r="G92" i="3"/>
  <c r="G79" i="3"/>
  <c r="G78" i="3"/>
  <c r="G77" i="3"/>
  <c r="G76" i="3"/>
  <c r="G72" i="3"/>
  <c r="G59" i="3"/>
  <c r="G51" i="3"/>
  <c r="G50" i="3"/>
  <c r="G49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G48" i="3"/>
  <c r="G47" i="3"/>
  <c r="G46" i="3"/>
  <c r="G64" i="3"/>
  <c r="G65" i="3"/>
  <c r="G53" i="3"/>
  <c r="H44" i="3"/>
  <c r="AO78" i="6"/>
  <c r="AY78" i="6"/>
  <c r="G42" i="3"/>
  <c r="C42" i="3" s="1"/>
  <c r="B40" i="3"/>
  <c r="BM37" i="3"/>
  <c r="AO80" i="6"/>
  <c r="BM75" i="3"/>
  <c r="BM74" i="3"/>
  <c r="BM52" i="3"/>
  <c r="AX78" i="6"/>
  <c r="AW78" i="6"/>
  <c r="AD78" i="6"/>
  <c r="AE78" i="6"/>
  <c r="AD92" i="3" s="1"/>
  <c r="H44" i="9"/>
  <c r="V44" i="9"/>
  <c r="T44" i="9"/>
  <c r="P44" i="9"/>
  <c r="U44" i="9"/>
  <c r="AD44" i="9"/>
  <c r="J44" i="9"/>
  <c r="AA44" i="9"/>
  <c r="X55" i="9"/>
  <c r="E44" i="9"/>
  <c r="M55" i="9"/>
  <c r="E55" i="9"/>
  <c r="AG44" i="9"/>
  <c r="AE55" i="9"/>
  <c r="F44" i="9"/>
  <c r="AQ44" i="9"/>
  <c r="AW44" i="9"/>
  <c r="AH55" i="9"/>
  <c r="F55" i="9"/>
  <c r="BA44" i="9"/>
  <c r="D55" i="9"/>
  <c r="L44" i="9"/>
  <c r="AG55" i="9"/>
  <c r="J55" i="9"/>
  <c r="AE44" i="9"/>
  <c r="G44" i="9"/>
  <c r="Y44" i="9"/>
  <c r="G55" i="9"/>
  <c r="I55" i="9"/>
  <c r="AW55" i="9"/>
  <c r="BA55" i="9"/>
  <c r="V55" i="9"/>
  <c r="S55" i="9"/>
  <c r="T55" i="9"/>
  <c r="X44" i="9"/>
  <c r="Z55" i="9"/>
  <c r="K55" i="9"/>
  <c r="L55" i="9"/>
  <c r="R44" i="9"/>
  <c r="I44" i="9"/>
  <c r="K44" i="9"/>
  <c r="S44" i="9"/>
  <c r="AA55" i="9"/>
  <c r="AC44" i="9"/>
  <c r="Z44" i="9"/>
  <c r="N55" i="9"/>
  <c r="P55" i="9"/>
  <c r="P149" i="9" s="1"/>
  <c r="P150" i="9" s="1"/>
  <c r="P151" i="9" s="1"/>
  <c r="AX44" i="9"/>
  <c r="AH44" i="9"/>
  <c r="R55" i="9"/>
  <c r="Q55" i="9"/>
  <c r="AB55" i="9"/>
  <c r="BS37" i="3"/>
  <c r="AZ44" i="9"/>
  <c r="BI55" i="9"/>
  <c r="H55" i="9"/>
  <c r="C38" i="9"/>
  <c r="CA38" i="9" s="1"/>
  <c r="C42" i="9"/>
  <c r="C43" i="9"/>
  <c r="CA43" i="9" s="1"/>
  <c r="CA37" i="9"/>
  <c r="C50" i="9"/>
  <c r="CA50" i="9" s="1"/>
  <c r="C46" i="9"/>
  <c r="C49" i="9"/>
  <c r="CA49" i="9" s="1"/>
  <c r="C52" i="9"/>
  <c r="CA52" i="9" s="1"/>
  <c r="C51" i="9"/>
  <c r="CA51" i="9" s="1"/>
  <c r="C48" i="9"/>
  <c r="CA48" i="9" s="1"/>
  <c r="C47" i="9"/>
  <c r="CA47" i="9" s="1"/>
  <c r="N44" i="9"/>
  <c r="BI44" i="9"/>
  <c r="Q44" i="9"/>
  <c r="W44" i="9"/>
  <c r="D44" i="9"/>
  <c r="O44" i="9"/>
  <c r="M44" i="9"/>
  <c r="W55" i="9"/>
  <c r="AC55" i="9"/>
  <c r="AZ55" i="9"/>
  <c r="AD55" i="9"/>
  <c r="O55" i="9"/>
  <c r="Y55" i="9"/>
  <c r="AX55" i="9"/>
  <c r="AB44" i="9"/>
  <c r="AQ55" i="9"/>
  <c r="BC76" i="6"/>
  <c r="T78" i="6"/>
  <c r="AL78" i="6"/>
  <c r="AB78" i="6"/>
  <c r="AA59" i="3" s="1"/>
  <c r="J78" i="6"/>
  <c r="K78" i="6"/>
  <c r="AV78" i="6"/>
  <c r="AA78" i="6"/>
  <c r="Q78" i="6"/>
  <c r="AT78" i="6"/>
  <c r="AH78" i="6"/>
  <c r="P78" i="6"/>
  <c r="AJ78" i="6"/>
  <c r="AS78" i="6"/>
  <c r="U78" i="6"/>
  <c r="AK78" i="6"/>
  <c r="W78" i="6"/>
  <c r="AU78" i="6"/>
  <c r="O78" i="6"/>
  <c r="Y78" i="6"/>
  <c r="AI78" i="6"/>
  <c r="N78" i="6"/>
  <c r="X78" i="6"/>
  <c r="AC78" i="6"/>
  <c r="AM78" i="6"/>
  <c r="AG78" i="6"/>
  <c r="AF113" i="3" s="1"/>
  <c r="M78" i="6"/>
  <c r="L97" i="3" s="1"/>
  <c r="L78" i="6"/>
  <c r="I78" i="6"/>
  <c r="R78" i="6"/>
  <c r="AF78" i="6"/>
  <c r="V78" i="6"/>
  <c r="Z78" i="6"/>
  <c r="AN78" i="6"/>
  <c r="AM113" i="3" s="1"/>
  <c r="S78" i="6"/>
  <c r="U55" i="9"/>
  <c r="C48" i="3" l="1"/>
  <c r="AL97" i="3"/>
  <c r="AL107" i="3"/>
  <c r="AL109" i="3" s="1"/>
  <c r="AC92" i="3"/>
  <c r="AC93" i="3"/>
  <c r="AC94" i="3" s="1"/>
  <c r="AN97" i="3"/>
  <c r="AN113" i="3"/>
  <c r="AB97" i="3"/>
  <c r="AB92" i="3"/>
  <c r="R123" i="3"/>
  <c r="R97" i="3"/>
  <c r="AM123" i="3"/>
  <c r="AM97" i="3"/>
  <c r="Y123" i="3"/>
  <c r="Y97" i="3"/>
  <c r="Y99" i="3" s="1"/>
  <c r="U123" i="3"/>
  <c r="U97" i="3"/>
  <c r="U99" i="3" s="1"/>
  <c r="AE123" i="3"/>
  <c r="AE97" i="3"/>
  <c r="AE99" i="3" s="1"/>
  <c r="AE59" i="3"/>
  <c r="Q123" i="3"/>
  <c r="Q97" i="3"/>
  <c r="H123" i="3"/>
  <c r="C123" i="3" s="1"/>
  <c r="H97" i="3"/>
  <c r="K123" i="3"/>
  <c r="K97" i="3"/>
  <c r="AF123" i="3"/>
  <c r="AF97" i="3"/>
  <c r="AF59" i="3"/>
  <c r="W123" i="3"/>
  <c r="W97" i="3"/>
  <c r="M123" i="3"/>
  <c r="M97" i="3"/>
  <c r="AH123" i="3"/>
  <c r="AH97" i="3"/>
  <c r="X123" i="3"/>
  <c r="X97" i="3"/>
  <c r="N123" i="3"/>
  <c r="N97" i="3"/>
  <c r="AT123" i="3"/>
  <c r="AT97" i="3"/>
  <c r="V123" i="3"/>
  <c r="V97" i="3"/>
  <c r="AJ123" i="3"/>
  <c r="AJ97" i="3"/>
  <c r="T123" i="3"/>
  <c r="T97" i="3"/>
  <c r="T99" i="3" s="1"/>
  <c r="AR123" i="3"/>
  <c r="AR97" i="3"/>
  <c r="AR99" i="3" s="1"/>
  <c r="AI123" i="3"/>
  <c r="AI97" i="3"/>
  <c r="O123" i="3"/>
  <c r="O97" i="3"/>
  <c r="O99" i="3" s="1"/>
  <c r="AG123" i="3"/>
  <c r="AG97" i="3"/>
  <c r="AS123" i="3"/>
  <c r="AS97" i="3"/>
  <c r="AS99" i="3" s="1"/>
  <c r="P123" i="3"/>
  <c r="P97" i="3"/>
  <c r="Z123" i="3"/>
  <c r="Z97" i="3"/>
  <c r="AU123" i="3"/>
  <c r="AU97" i="3"/>
  <c r="AU99" i="3" s="1"/>
  <c r="J123" i="3"/>
  <c r="J97" i="3"/>
  <c r="I123" i="3"/>
  <c r="I97" i="3"/>
  <c r="C97" i="3" s="1"/>
  <c r="AA123" i="3"/>
  <c r="AA97" i="3"/>
  <c r="AK123" i="3"/>
  <c r="AK97" i="3"/>
  <c r="S123" i="3"/>
  <c r="S97" i="3"/>
  <c r="S99" i="3" s="1"/>
  <c r="AD123" i="3"/>
  <c r="AD97" i="3"/>
  <c r="AC123" i="3"/>
  <c r="AC97" i="3"/>
  <c r="AV123" i="3"/>
  <c r="AV97" i="3"/>
  <c r="AL123" i="3"/>
  <c r="AN123" i="3"/>
  <c r="AN92" i="3"/>
  <c r="L123" i="3"/>
  <c r="AB113" i="3"/>
  <c r="AB123" i="3"/>
  <c r="B42" i="3"/>
  <c r="C44" i="3"/>
  <c r="R78" i="3"/>
  <c r="R107" i="3"/>
  <c r="R109" i="3" s="1"/>
  <c r="R102" i="3"/>
  <c r="R103" i="3" s="1"/>
  <c r="R125" i="3"/>
  <c r="R122" i="3"/>
  <c r="R124" i="3" s="1"/>
  <c r="R113" i="3"/>
  <c r="R98" i="3"/>
  <c r="R93" i="3"/>
  <c r="R92" i="3"/>
  <c r="R94" i="3" s="1"/>
  <c r="R79" i="3"/>
  <c r="R77" i="3"/>
  <c r="R76" i="3"/>
  <c r="R72" i="3"/>
  <c r="R59" i="3"/>
  <c r="R51" i="3"/>
  <c r="R50" i="3"/>
  <c r="R49" i="3"/>
  <c r="R47" i="3"/>
  <c r="R64" i="3"/>
  <c r="R65" i="3"/>
  <c r="R53" i="3"/>
  <c r="AM78" i="3"/>
  <c r="AM107" i="3"/>
  <c r="AM109" i="3" s="1"/>
  <c r="AM102" i="3"/>
  <c r="AM103" i="3" s="1"/>
  <c r="AM125" i="3"/>
  <c r="AM122" i="3"/>
  <c r="AM124" i="3" s="1"/>
  <c r="AM98" i="3"/>
  <c r="AM99" i="3" s="1"/>
  <c r="AM93" i="3"/>
  <c r="AM92" i="3"/>
  <c r="AM79" i="3"/>
  <c r="AM77" i="3"/>
  <c r="AM76" i="3"/>
  <c r="AM72" i="3"/>
  <c r="AM59" i="3"/>
  <c r="AM51" i="3"/>
  <c r="AM50" i="3"/>
  <c r="AM49" i="3"/>
  <c r="AM47" i="3"/>
  <c r="AM64" i="3"/>
  <c r="AM65" i="3"/>
  <c r="AM53" i="3"/>
  <c r="Y78" i="3"/>
  <c r="Y107" i="3"/>
  <c r="Y109" i="3" s="1"/>
  <c r="Y102" i="3"/>
  <c r="Y103" i="3" s="1"/>
  <c r="Y125" i="3"/>
  <c r="Y122" i="3"/>
  <c r="Y124" i="3" s="1"/>
  <c r="Y113" i="3"/>
  <c r="Y98" i="3"/>
  <c r="Y93" i="3"/>
  <c r="Y92" i="3"/>
  <c r="Y94" i="3" s="1"/>
  <c r="Y79" i="3"/>
  <c r="Y77" i="3"/>
  <c r="Y76" i="3"/>
  <c r="Y72" i="3"/>
  <c r="Y59" i="3"/>
  <c r="Y51" i="3"/>
  <c r="Y50" i="3"/>
  <c r="Y49" i="3"/>
  <c r="Y47" i="3"/>
  <c r="Y64" i="3"/>
  <c r="Y65" i="3"/>
  <c r="Y53" i="3"/>
  <c r="U78" i="3"/>
  <c r="U107" i="3"/>
  <c r="U109" i="3" s="1"/>
  <c r="U102" i="3"/>
  <c r="U103" i="3" s="1"/>
  <c r="U125" i="3"/>
  <c r="U122" i="3"/>
  <c r="U124" i="3" s="1"/>
  <c r="U113" i="3"/>
  <c r="U114" i="3" s="1"/>
  <c r="U98" i="3"/>
  <c r="U93" i="3"/>
  <c r="U92" i="3"/>
  <c r="U94" i="3" s="1"/>
  <c r="U79" i="3"/>
  <c r="U77" i="3"/>
  <c r="U76" i="3"/>
  <c r="U72" i="3"/>
  <c r="U59" i="3"/>
  <c r="U51" i="3"/>
  <c r="U50" i="3"/>
  <c r="U49" i="3"/>
  <c r="U47" i="3"/>
  <c r="U64" i="3"/>
  <c r="U65" i="3"/>
  <c r="U53" i="3"/>
  <c r="AE78" i="3"/>
  <c r="AE107" i="3"/>
  <c r="AE109" i="3" s="1"/>
  <c r="AE102" i="3"/>
  <c r="AE103" i="3" s="1"/>
  <c r="AE125" i="3"/>
  <c r="AE122" i="3"/>
  <c r="AE124" i="3" s="1"/>
  <c r="AE113" i="3"/>
  <c r="AE114" i="3" s="1"/>
  <c r="AE98" i="3"/>
  <c r="AE93" i="3"/>
  <c r="AE92" i="3"/>
  <c r="AE94" i="3" s="1"/>
  <c r="AE79" i="3"/>
  <c r="AE77" i="3"/>
  <c r="AE76" i="3"/>
  <c r="AE72" i="3"/>
  <c r="AE51" i="3"/>
  <c r="AE50" i="3"/>
  <c r="AE49" i="3"/>
  <c r="AE47" i="3"/>
  <c r="AE64" i="3"/>
  <c r="AE65" i="3"/>
  <c r="AE53" i="3"/>
  <c r="Q78" i="3"/>
  <c r="Q107" i="3"/>
  <c r="Q109" i="3" s="1"/>
  <c r="Q102" i="3"/>
  <c r="Q103" i="3" s="1"/>
  <c r="Q125" i="3"/>
  <c r="Q122" i="3"/>
  <c r="Q124" i="3" s="1"/>
  <c r="Q113" i="3"/>
  <c r="Q114" i="3" s="1"/>
  <c r="Q98" i="3"/>
  <c r="Q93" i="3"/>
  <c r="Q92" i="3"/>
  <c r="Q94" i="3" s="1"/>
  <c r="Q79" i="3"/>
  <c r="Q77" i="3"/>
  <c r="Q76" i="3"/>
  <c r="Q72" i="3"/>
  <c r="Q59" i="3"/>
  <c r="Q51" i="3"/>
  <c r="Q50" i="3"/>
  <c r="Q49" i="3"/>
  <c r="Q47" i="3"/>
  <c r="Q64" i="3"/>
  <c r="Q65" i="3"/>
  <c r="Q53" i="3"/>
  <c r="H78" i="3"/>
  <c r="H107" i="3"/>
  <c r="H102" i="3"/>
  <c r="H125" i="3"/>
  <c r="C125" i="3" s="1"/>
  <c r="H122" i="3"/>
  <c r="H113" i="3"/>
  <c r="H114" i="3" s="1"/>
  <c r="H98" i="3"/>
  <c r="H99" i="3" s="1"/>
  <c r="H93" i="3"/>
  <c r="H79" i="3"/>
  <c r="C79" i="3" s="1"/>
  <c r="H77" i="3"/>
  <c r="H76" i="3"/>
  <c r="C76" i="3" s="1"/>
  <c r="H72" i="3"/>
  <c r="H59" i="3"/>
  <c r="C59" i="3" s="1"/>
  <c r="H51" i="3"/>
  <c r="C51" i="3" s="1"/>
  <c r="H50" i="3"/>
  <c r="C50" i="3" s="1"/>
  <c r="H49" i="3"/>
  <c r="H47" i="3"/>
  <c r="C47" i="3" s="1"/>
  <c r="H64" i="3"/>
  <c r="C64" i="3" s="1"/>
  <c r="H65" i="3"/>
  <c r="C65" i="3" s="1"/>
  <c r="H92" i="3"/>
  <c r="H53" i="3"/>
  <c r="C53" i="3" s="1"/>
  <c r="AZ78" i="6"/>
  <c r="K78" i="3"/>
  <c r="K107" i="3"/>
  <c r="K109" i="3" s="1"/>
  <c r="K102" i="3"/>
  <c r="K103" i="3" s="1"/>
  <c r="K125" i="3"/>
  <c r="K122" i="3"/>
  <c r="K124" i="3" s="1"/>
  <c r="K113" i="3"/>
  <c r="K114" i="3" s="1"/>
  <c r="K98" i="3"/>
  <c r="K93" i="3"/>
  <c r="K92" i="3"/>
  <c r="K79" i="3"/>
  <c r="K77" i="3"/>
  <c r="K76" i="3"/>
  <c r="K72" i="3"/>
  <c r="K59" i="3"/>
  <c r="K51" i="3"/>
  <c r="K50" i="3"/>
  <c r="K49" i="3"/>
  <c r="C49" i="3" s="1"/>
  <c r="K47" i="3"/>
  <c r="K64" i="3"/>
  <c r="K65" i="3"/>
  <c r="K53" i="3"/>
  <c r="L78" i="3"/>
  <c r="L107" i="3"/>
  <c r="L109" i="3" s="1"/>
  <c r="L102" i="3"/>
  <c r="L103" i="3" s="1"/>
  <c r="L125" i="3"/>
  <c r="L122" i="3"/>
  <c r="L124" i="3" s="1"/>
  <c r="L113" i="3"/>
  <c r="L114" i="3" s="1"/>
  <c r="L98" i="3"/>
  <c r="L99" i="3" s="1"/>
  <c r="L93" i="3"/>
  <c r="L92" i="3"/>
  <c r="L94" i="3" s="1"/>
  <c r="L79" i="3"/>
  <c r="L77" i="3"/>
  <c r="L76" i="3"/>
  <c r="L72" i="3"/>
  <c r="L59" i="3"/>
  <c r="L51" i="3"/>
  <c r="L50" i="3"/>
  <c r="L49" i="3"/>
  <c r="L47" i="3"/>
  <c r="L64" i="3"/>
  <c r="L65" i="3"/>
  <c r="L53" i="3"/>
  <c r="AF78" i="3"/>
  <c r="AF107" i="3"/>
  <c r="AF109" i="3" s="1"/>
  <c r="AF102" i="3"/>
  <c r="AF103" i="3" s="1"/>
  <c r="AF125" i="3"/>
  <c r="AF122" i="3"/>
  <c r="AF124" i="3" s="1"/>
  <c r="AF98" i="3"/>
  <c r="AF99" i="3" s="1"/>
  <c r="AF93" i="3"/>
  <c r="AF92" i="3"/>
  <c r="AF79" i="3"/>
  <c r="AF77" i="3"/>
  <c r="AF76" i="3"/>
  <c r="AF72" i="3"/>
  <c r="AF51" i="3"/>
  <c r="AF50" i="3"/>
  <c r="AF49" i="3"/>
  <c r="AF47" i="3"/>
  <c r="AF64" i="3"/>
  <c r="AF65" i="3"/>
  <c r="AF53" i="3"/>
  <c r="AL78" i="3"/>
  <c r="AL102" i="3"/>
  <c r="AL103" i="3" s="1"/>
  <c r="AL125" i="3"/>
  <c r="AL122" i="3"/>
  <c r="AL124" i="3" s="1"/>
  <c r="AL113" i="3"/>
  <c r="AL98" i="3"/>
  <c r="AL93" i="3"/>
  <c r="AL92" i="3"/>
  <c r="AL94" i="3" s="1"/>
  <c r="AL79" i="3"/>
  <c r="AL77" i="3"/>
  <c r="AL76" i="3"/>
  <c r="AL72" i="3"/>
  <c r="AL59" i="3"/>
  <c r="AL51" i="3"/>
  <c r="AL50" i="3"/>
  <c r="AL49" i="3"/>
  <c r="AL47" i="3"/>
  <c r="AL64" i="3"/>
  <c r="AL65" i="3"/>
  <c r="AL53" i="3"/>
  <c r="AB78" i="3"/>
  <c r="AB107" i="3"/>
  <c r="AB109" i="3" s="1"/>
  <c r="AB102" i="3"/>
  <c r="AB103" i="3" s="1"/>
  <c r="AB125" i="3"/>
  <c r="AB122" i="3"/>
  <c r="AB124" i="3" s="1"/>
  <c r="AB98" i="3"/>
  <c r="AB93" i="3"/>
  <c r="AB79" i="3"/>
  <c r="AB77" i="3"/>
  <c r="AB76" i="3"/>
  <c r="AB72" i="3"/>
  <c r="AB59" i="3"/>
  <c r="AB51" i="3"/>
  <c r="AB50" i="3"/>
  <c r="AB49" i="3"/>
  <c r="AB47" i="3"/>
  <c r="AB64" i="3"/>
  <c r="AB65" i="3"/>
  <c r="AB53" i="3"/>
  <c r="W78" i="3"/>
  <c r="W107" i="3"/>
  <c r="W109" i="3" s="1"/>
  <c r="W102" i="3"/>
  <c r="W103" i="3" s="1"/>
  <c r="W125" i="3"/>
  <c r="W122" i="3"/>
  <c r="W124" i="3" s="1"/>
  <c r="W113" i="3"/>
  <c r="W114" i="3" s="1"/>
  <c r="W98" i="3"/>
  <c r="W93" i="3"/>
  <c r="W92" i="3"/>
  <c r="W94" i="3" s="1"/>
  <c r="W79" i="3"/>
  <c r="W77" i="3"/>
  <c r="W76" i="3"/>
  <c r="W72" i="3"/>
  <c r="W59" i="3"/>
  <c r="W51" i="3"/>
  <c r="W50" i="3"/>
  <c r="W49" i="3"/>
  <c r="W47" i="3"/>
  <c r="W64" i="3"/>
  <c r="W65" i="3"/>
  <c r="W53" i="3"/>
  <c r="M78" i="3"/>
  <c r="M107" i="3"/>
  <c r="M109" i="3" s="1"/>
  <c r="M102" i="3"/>
  <c r="M103" i="3" s="1"/>
  <c r="M125" i="3"/>
  <c r="M122" i="3"/>
  <c r="M124" i="3" s="1"/>
  <c r="M113" i="3"/>
  <c r="M114" i="3" s="1"/>
  <c r="M98" i="3"/>
  <c r="M99" i="3" s="1"/>
  <c r="M93" i="3"/>
  <c r="M92" i="3"/>
  <c r="M79" i="3"/>
  <c r="M77" i="3"/>
  <c r="M76" i="3"/>
  <c r="M72" i="3"/>
  <c r="M59" i="3"/>
  <c r="M51" i="3"/>
  <c r="M50" i="3"/>
  <c r="M49" i="3"/>
  <c r="M47" i="3"/>
  <c r="M64" i="3"/>
  <c r="M65" i="3"/>
  <c r="M53" i="3"/>
  <c r="AH78" i="3"/>
  <c r="AH107" i="3"/>
  <c r="AH109" i="3" s="1"/>
  <c r="AH102" i="3"/>
  <c r="AH103" i="3" s="1"/>
  <c r="AH125" i="3"/>
  <c r="AH122" i="3"/>
  <c r="AH124" i="3" s="1"/>
  <c r="AH113" i="3"/>
  <c r="AH114" i="3" s="1"/>
  <c r="AH98" i="3"/>
  <c r="AH93" i="3"/>
  <c r="AH79" i="3"/>
  <c r="AH77" i="3"/>
  <c r="AH76" i="3"/>
  <c r="AH72" i="3"/>
  <c r="AH59" i="3"/>
  <c r="AH51" i="3"/>
  <c r="AH50" i="3"/>
  <c r="AH49" i="3"/>
  <c r="AH47" i="3"/>
  <c r="AH64" i="3"/>
  <c r="AH65" i="3"/>
  <c r="AH92" i="3"/>
  <c r="AH53" i="3"/>
  <c r="X78" i="3"/>
  <c r="X107" i="3"/>
  <c r="X109" i="3" s="1"/>
  <c r="X102" i="3"/>
  <c r="X103" i="3" s="1"/>
  <c r="X125" i="3"/>
  <c r="X122" i="3"/>
  <c r="X124" i="3" s="1"/>
  <c r="X113" i="3"/>
  <c r="X114" i="3" s="1"/>
  <c r="X98" i="3"/>
  <c r="X93" i="3"/>
  <c r="X79" i="3"/>
  <c r="X77" i="3"/>
  <c r="X76" i="3"/>
  <c r="X72" i="3"/>
  <c r="X59" i="3"/>
  <c r="X51" i="3"/>
  <c r="X50" i="3"/>
  <c r="X49" i="3"/>
  <c r="X47" i="3"/>
  <c r="X64" i="3"/>
  <c r="X65" i="3"/>
  <c r="X92" i="3"/>
  <c r="X53" i="3"/>
  <c r="N78" i="3"/>
  <c r="N107" i="3"/>
  <c r="N109" i="3" s="1"/>
  <c r="N102" i="3"/>
  <c r="N103" i="3" s="1"/>
  <c r="N125" i="3"/>
  <c r="N122" i="3"/>
  <c r="N124" i="3" s="1"/>
  <c r="N113" i="3"/>
  <c r="N114" i="3" s="1"/>
  <c r="N98" i="3"/>
  <c r="N99" i="3" s="1"/>
  <c r="N93" i="3"/>
  <c r="N79" i="3"/>
  <c r="N77" i="3"/>
  <c r="N76" i="3"/>
  <c r="N72" i="3"/>
  <c r="N59" i="3"/>
  <c r="N51" i="3"/>
  <c r="N50" i="3"/>
  <c r="N49" i="3"/>
  <c r="N47" i="3"/>
  <c r="N64" i="3"/>
  <c r="N65" i="3"/>
  <c r="N92" i="3"/>
  <c r="N53" i="3"/>
  <c r="AT78" i="3"/>
  <c r="AT107" i="3"/>
  <c r="AT109" i="3" s="1"/>
  <c r="AT102" i="3"/>
  <c r="AT103" i="3" s="1"/>
  <c r="AT125" i="3"/>
  <c r="AT122" i="3"/>
  <c r="AT124" i="3" s="1"/>
  <c r="AT113" i="3"/>
  <c r="AT98" i="3"/>
  <c r="AT93" i="3"/>
  <c r="AT92" i="3"/>
  <c r="AT94" i="3" s="1"/>
  <c r="AT79" i="3"/>
  <c r="AT77" i="3"/>
  <c r="AT76" i="3"/>
  <c r="AT72" i="3"/>
  <c r="AT59" i="3"/>
  <c r="AT51" i="3"/>
  <c r="AT50" i="3"/>
  <c r="AT49" i="3"/>
  <c r="AT47" i="3"/>
  <c r="AT64" i="3"/>
  <c r="AT65" i="3"/>
  <c r="AT53" i="3"/>
  <c r="V78" i="3"/>
  <c r="V107" i="3"/>
  <c r="V109" i="3" s="1"/>
  <c r="V102" i="3"/>
  <c r="V103" i="3" s="1"/>
  <c r="V125" i="3"/>
  <c r="V122" i="3"/>
  <c r="V124" i="3" s="1"/>
  <c r="V113" i="3"/>
  <c r="V114" i="3" s="1"/>
  <c r="V98" i="3"/>
  <c r="V99" i="3" s="1"/>
  <c r="V93" i="3"/>
  <c r="V92" i="3"/>
  <c r="V79" i="3"/>
  <c r="V77" i="3"/>
  <c r="V76" i="3"/>
  <c r="V72" i="3"/>
  <c r="V59" i="3"/>
  <c r="V51" i="3"/>
  <c r="V50" i="3"/>
  <c r="V49" i="3"/>
  <c r="V47" i="3"/>
  <c r="V64" i="3"/>
  <c r="V65" i="3"/>
  <c r="V53" i="3"/>
  <c r="AJ78" i="3"/>
  <c r="AJ109" i="3"/>
  <c r="AJ102" i="3"/>
  <c r="AJ103" i="3" s="1"/>
  <c r="AJ125" i="3"/>
  <c r="AJ122" i="3"/>
  <c r="AJ124" i="3" s="1"/>
  <c r="AJ113" i="3"/>
  <c r="AJ98" i="3"/>
  <c r="AJ93" i="3"/>
  <c r="AJ92" i="3"/>
  <c r="AJ79" i="3"/>
  <c r="AJ77" i="3"/>
  <c r="AJ76" i="3"/>
  <c r="AJ72" i="3"/>
  <c r="AJ59" i="3"/>
  <c r="AJ51" i="3"/>
  <c r="AJ50" i="3"/>
  <c r="AJ49" i="3"/>
  <c r="AJ47" i="3"/>
  <c r="AJ64" i="3"/>
  <c r="AJ65" i="3"/>
  <c r="AJ53" i="3"/>
  <c r="T78" i="3"/>
  <c r="T107" i="3"/>
  <c r="T109" i="3" s="1"/>
  <c r="T102" i="3"/>
  <c r="T103" i="3" s="1"/>
  <c r="T125" i="3"/>
  <c r="T122" i="3"/>
  <c r="T124" i="3" s="1"/>
  <c r="T113" i="3"/>
  <c r="T98" i="3"/>
  <c r="T93" i="3"/>
  <c r="T92" i="3"/>
  <c r="T79" i="3"/>
  <c r="T77" i="3"/>
  <c r="T76" i="3"/>
  <c r="T72" i="3"/>
  <c r="T59" i="3"/>
  <c r="T51" i="3"/>
  <c r="T50" i="3"/>
  <c r="T49" i="3"/>
  <c r="T47" i="3"/>
  <c r="T64" i="3"/>
  <c r="T65" i="3"/>
  <c r="T53" i="3"/>
  <c r="AR78" i="3"/>
  <c r="AR107" i="3"/>
  <c r="AR109" i="3" s="1"/>
  <c r="AR102" i="3"/>
  <c r="AR103" i="3" s="1"/>
  <c r="AR125" i="3"/>
  <c r="AR122" i="3"/>
  <c r="AR124" i="3" s="1"/>
  <c r="AR113" i="3"/>
  <c r="AR114" i="3" s="1"/>
  <c r="AR98" i="3"/>
  <c r="AR93" i="3"/>
  <c r="AR92" i="3"/>
  <c r="AR79" i="3"/>
  <c r="AR77" i="3"/>
  <c r="AR76" i="3"/>
  <c r="AR72" i="3"/>
  <c r="AR59" i="3"/>
  <c r="AR51" i="3"/>
  <c r="AR50" i="3"/>
  <c r="AR49" i="3"/>
  <c r="AR47" i="3"/>
  <c r="AR64" i="3"/>
  <c r="AR65" i="3"/>
  <c r="AR53" i="3"/>
  <c r="AI78" i="3"/>
  <c r="AI107" i="3"/>
  <c r="AI109" i="3" s="1"/>
  <c r="AI102" i="3"/>
  <c r="AI103" i="3" s="1"/>
  <c r="AI125" i="3"/>
  <c r="AI122" i="3"/>
  <c r="AI124" i="3" s="1"/>
  <c r="AI113" i="3"/>
  <c r="AI114" i="3" s="1"/>
  <c r="AI98" i="3"/>
  <c r="AI93" i="3"/>
  <c r="AI92" i="3"/>
  <c r="AI94" i="3" s="1"/>
  <c r="AI79" i="3"/>
  <c r="AI77" i="3"/>
  <c r="AI76" i="3"/>
  <c r="AI72" i="3"/>
  <c r="AI59" i="3"/>
  <c r="AI51" i="3"/>
  <c r="AI50" i="3"/>
  <c r="AI49" i="3"/>
  <c r="AI47" i="3"/>
  <c r="AI64" i="3"/>
  <c r="AI65" i="3"/>
  <c r="AI53" i="3"/>
  <c r="O78" i="3"/>
  <c r="O107" i="3"/>
  <c r="O109" i="3" s="1"/>
  <c r="O102" i="3"/>
  <c r="O103" i="3" s="1"/>
  <c r="O125" i="3"/>
  <c r="O122" i="3"/>
  <c r="O124" i="3" s="1"/>
  <c r="O113" i="3"/>
  <c r="O98" i="3"/>
  <c r="O93" i="3"/>
  <c r="O92" i="3"/>
  <c r="O79" i="3"/>
  <c r="O77" i="3"/>
  <c r="O76" i="3"/>
  <c r="O72" i="3"/>
  <c r="C72" i="3" s="1"/>
  <c r="O59" i="3"/>
  <c r="O51" i="3"/>
  <c r="O50" i="3"/>
  <c r="O49" i="3"/>
  <c r="O47" i="3"/>
  <c r="O64" i="3"/>
  <c r="O65" i="3"/>
  <c r="O53" i="3"/>
  <c r="AG78" i="3"/>
  <c r="AG107" i="3"/>
  <c r="AG109" i="3" s="1"/>
  <c r="AG102" i="3"/>
  <c r="AG103" i="3" s="1"/>
  <c r="AG125" i="3"/>
  <c r="AG122" i="3"/>
  <c r="AG124" i="3" s="1"/>
  <c r="AG113" i="3"/>
  <c r="AG114" i="3" s="1"/>
  <c r="AG98" i="3"/>
  <c r="AG99" i="3" s="1"/>
  <c r="AG93" i="3"/>
  <c r="AG79" i="3"/>
  <c r="AG77" i="3"/>
  <c r="AG76" i="3"/>
  <c r="AG72" i="3"/>
  <c r="AG59" i="3"/>
  <c r="AG51" i="3"/>
  <c r="AG50" i="3"/>
  <c r="AG49" i="3"/>
  <c r="AG47" i="3"/>
  <c r="AG64" i="3"/>
  <c r="AG65" i="3"/>
  <c r="AG92" i="3"/>
  <c r="AG53" i="3"/>
  <c r="AS78" i="3"/>
  <c r="AS107" i="3"/>
  <c r="AS109" i="3" s="1"/>
  <c r="AS102" i="3"/>
  <c r="AS103" i="3" s="1"/>
  <c r="AS125" i="3"/>
  <c r="AS122" i="3"/>
  <c r="AS124" i="3" s="1"/>
  <c r="AS113" i="3"/>
  <c r="AS98" i="3"/>
  <c r="AS93" i="3"/>
  <c r="AS92" i="3"/>
  <c r="AS79" i="3"/>
  <c r="AS77" i="3"/>
  <c r="AS76" i="3"/>
  <c r="AS72" i="3"/>
  <c r="AS59" i="3"/>
  <c r="AS51" i="3"/>
  <c r="AS50" i="3"/>
  <c r="AS49" i="3"/>
  <c r="AS47" i="3"/>
  <c r="AS64" i="3"/>
  <c r="AS65" i="3"/>
  <c r="AS53" i="3"/>
  <c r="P78" i="3"/>
  <c r="P107" i="3"/>
  <c r="P109" i="3" s="1"/>
  <c r="P102" i="3"/>
  <c r="P103" i="3" s="1"/>
  <c r="P125" i="3"/>
  <c r="P122" i="3"/>
  <c r="P124" i="3" s="1"/>
  <c r="P113" i="3"/>
  <c r="P114" i="3" s="1"/>
  <c r="P98" i="3"/>
  <c r="P92" i="3"/>
  <c r="P94" i="3" s="1"/>
  <c r="P79" i="3"/>
  <c r="P77" i="3"/>
  <c r="P76" i="3"/>
  <c r="P72" i="3"/>
  <c r="P59" i="3"/>
  <c r="P51" i="3"/>
  <c r="P50" i="3"/>
  <c r="P49" i="3"/>
  <c r="P47" i="3"/>
  <c r="P64" i="3"/>
  <c r="P65" i="3"/>
  <c r="P53" i="3"/>
  <c r="Z78" i="3"/>
  <c r="Z107" i="3"/>
  <c r="Z109" i="3" s="1"/>
  <c r="Z102" i="3"/>
  <c r="Z103" i="3" s="1"/>
  <c r="Z125" i="3"/>
  <c r="Z122" i="3"/>
  <c r="Z124" i="3" s="1"/>
  <c r="Z113" i="3"/>
  <c r="Z114" i="3" s="1"/>
  <c r="Z98" i="3"/>
  <c r="Z93" i="3"/>
  <c r="Z92" i="3"/>
  <c r="Z79" i="3"/>
  <c r="Z77" i="3"/>
  <c r="Z76" i="3"/>
  <c r="Z72" i="3"/>
  <c r="Z59" i="3"/>
  <c r="Z51" i="3"/>
  <c r="Z50" i="3"/>
  <c r="Z49" i="3"/>
  <c r="Z47" i="3"/>
  <c r="Z64" i="3"/>
  <c r="Z65" i="3"/>
  <c r="Z53" i="3"/>
  <c r="AU78" i="3"/>
  <c r="AU107" i="3"/>
  <c r="AU109" i="3" s="1"/>
  <c r="AU102" i="3"/>
  <c r="AU103" i="3" s="1"/>
  <c r="AU125" i="3"/>
  <c r="AU122" i="3"/>
  <c r="AU124" i="3" s="1"/>
  <c r="AU113" i="3"/>
  <c r="AU114" i="3" s="1"/>
  <c r="AU98" i="3"/>
  <c r="AU93" i="3"/>
  <c r="AU92" i="3"/>
  <c r="AU79" i="3"/>
  <c r="AU77" i="3"/>
  <c r="AU76" i="3"/>
  <c r="AU72" i="3"/>
  <c r="AU59" i="3"/>
  <c r="AU51" i="3"/>
  <c r="AU50" i="3"/>
  <c r="AU49" i="3"/>
  <c r="AU47" i="3"/>
  <c r="AU64" i="3"/>
  <c r="AU65" i="3"/>
  <c r="AU53" i="3"/>
  <c r="J78" i="3"/>
  <c r="C78" i="3" s="1"/>
  <c r="J107" i="3"/>
  <c r="J109" i="3" s="1"/>
  <c r="J102" i="3"/>
  <c r="J103" i="3" s="1"/>
  <c r="J125" i="3"/>
  <c r="J122" i="3"/>
  <c r="J124" i="3" s="1"/>
  <c r="J113" i="3"/>
  <c r="J114" i="3" s="1"/>
  <c r="J98" i="3"/>
  <c r="J99" i="3" s="1"/>
  <c r="J93" i="3"/>
  <c r="J79" i="3"/>
  <c r="J77" i="3"/>
  <c r="J76" i="3"/>
  <c r="J72" i="3"/>
  <c r="J59" i="3"/>
  <c r="J51" i="3"/>
  <c r="J50" i="3"/>
  <c r="J49" i="3"/>
  <c r="J47" i="3"/>
  <c r="J64" i="3"/>
  <c r="J65" i="3"/>
  <c r="J92" i="3"/>
  <c r="J53" i="3"/>
  <c r="I78" i="3"/>
  <c r="I107" i="3"/>
  <c r="I109" i="3" s="1"/>
  <c r="I102" i="3"/>
  <c r="I103" i="3" s="1"/>
  <c r="I125" i="3"/>
  <c r="I122" i="3"/>
  <c r="I124" i="3" s="1"/>
  <c r="I113" i="3"/>
  <c r="I114" i="3" s="1"/>
  <c r="I98" i="3"/>
  <c r="I93" i="3"/>
  <c r="I92" i="3"/>
  <c r="C92" i="3" s="1"/>
  <c r="I79" i="3"/>
  <c r="I77" i="3"/>
  <c r="C77" i="3" s="1"/>
  <c r="I76" i="3"/>
  <c r="I72" i="3"/>
  <c r="I59" i="3"/>
  <c r="I51" i="3"/>
  <c r="I50" i="3"/>
  <c r="I49" i="3"/>
  <c r="I47" i="3"/>
  <c r="I64" i="3"/>
  <c r="I65" i="3"/>
  <c r="I53" i="3"/>
  <c r="AA78" i="3"/>
  <c r="AA107" i="3"/>
  <c r="AA109" i="3" s="1"/>
  <c r="AA102" i="3"/>
  <c r="AA103" i="3" s="1"/>
  <c r="AA125" i="3"/>
  <c r="AA122" i="3"/>
  <c r="AA124" i="3" s="1"/>
  <c r="AA113" i="3"/>
  <c r="AA98" i="3"/>
  <c r="AA99" i="3" s="1"/>
  <c r="AA93" i="3"/>
  <c r="AA92" i="3"/>
  <c r="AA79" i="3"/>
  <c r="AA77" i="3"/>
  <c r="AA76" i="3"/>
  <c r="AA72" i="3"/>
  <c r="AA51" i="3"/>
  <c r="AA50" i="3"/>
  <c r="AA49" i="3"/>
  <c r="AA47" i="3"/>
  <c r="AA64" i="3"/>
  <c r="AA65" i="3"/>
  <c r="AA53" i="3"/>
  <c r="AK78" i="3"/>
  <c r="AK107" i="3"/>
  <c r="AK109" i="3" s="1"/>
  <c r="AK102" i="3"/>
  <c r="AK103" i="3" s="1"/>
  <c r="AK125" i="3"/>
  <c r="AK122" i="3"/>
  <c r="AK124" i="3" s="1"/>
  <c r="AK113" i="3"/>
  <c r="AK114" i="3" s="1"/>
  <c r="AK98" i="3"/>
  <c r="AK99" i="3" s="1"/>
  <c r="AK93" i="3"/>
  <c r="AK92" i="3"/>
  <c r="AK94" i="3" s="1"/>
  <c r="AK79" i="3"/>
  <c r="AK77" i="3"/>
  <c r="AK76" i="3"/>
  <c r="AK72" i="3"/>
  <c r="AK59" i="3"/>
  <c r="AK51" i="3"/>
  <c r="AK50" i="3"/>
  <c r="AK49" i="3"/>
  <c r="AK47" i="3"/>
  <c r="AK64" i="3"/>
  <c r="AK65" i="3"/>
  <c r="AK53" i="3"/>
  <c r="S78" i="3"/>
  <c r="S107" i="3"/>
  <c r="S109" i="3" s="1"/>
  <c r="S102" i="3"/>
  <c r="S103" i="3" s="1"/>
  <c r="S125" i="3"/>
  <c r="S122" i="3"/>
  <c r="S124" i="3" s="1"/>
  <c r="S113" i="3"/>
  <c r="S114" i="3" s="1"/>
  <c r="S98" i="3"/>
  <c r="S93" i="3"/>
  <c r="S92" i="3"/>
  <c r="S79" i="3"/>
  <c r="S77" i="3"/>
  <c r="S76" i="3"/>
  <c r="S72" i="3"/>
  <c r="S59" i="3"/>
  <c r="S51" i="3"/>
  <c r="S50" i="3"/>
  <c r="S49" i="3"/>
  <c r="S47" i="3"/>
  <c r="S64" i="3"/>
  <c r="S65" i="3"/>
  <c r="S53" i="3"/>
  <c r="AD78" i="3"/>
  <c r="AD107" i="3"/>
  <c r="AD109" i="3" s="1"/>
  <c r="AD102" i="3"/>
  <c r="AD103" i="3" s="1"/>
  <c r="AD125" i="3"/>
  <c r="AD122" i="3"/>
  <c r="AD124" i="3" s="1"/>
  <c r="AD113" i="3"/>
  <c r="AD114" i="3" s="1"/>
  <c r="AD98" i="3"/>
  <c r="AD99" i="3" s="1"/>
  <c r="AD93" i="3"/>
  <c r="AD94" i="3" s="1"/>
  <c r="AD79" i="3"/>
  <c r="AD77" i="3"/>
  <c r="AD76" i="3"/>
  <c r="AD72" i="3"/>
  <c r="AD59" i="3"/>
  <c r="AD51" i="3"/>
  <c r="AD50" i="3"/>
  <c r="AD49" i="3"/>
  <c r="AD47" i="3"/>
  <c r="AD64" i="3"/>
  <c r="AD65" i="3"/>
  <c r="AD53" i="3"/>
  <c r="AC78" i="3"/>
  <c r="AC107" i="3"/>
  <c r="AC109" i="3" s="1"/>
  <c r="AC102" i="3"/>
  <c r="AC103" i="3" s="1"/>
  <c r="AC125" i="3"/>
  <c r="AC122" i="3"/>
  <c r="AC124" i="3" s="1"/>
  <c r="AC113" i="3"/>
  <c r="AC114" i="3" s="1"/>
  <c r="AC98" i="3"/>
  <c r="AC79" i="3"/>
  <c r="AC77" i="3"/>
  <c r="AC76" i="3"/>
  <c r="AC72" i="3"/>
  <c r="AC59" i="3"/>
  <c r="AC51" i="3"/>
  <c r="AC50" i="3"/>
  <c r="AC49" i="3"/>
  <c r="AC47" i="3"/>
  <c r="AC64" i="3"/>
  <c r="AC65" i="3"/>
  <c r="AC53" i="3"/>
  <c r="AV78" i="3"/>
  <c r="AV107" i="3"/>
  <c r="AV109" i="3" s="1"/>
  <c r="AV102" i="3"/>
  <c r="AV103" i="3" s="1"/>
  <c r="AV125" i="3"/>
  <c r="AV122" i="3"/>
  <c r="AV124" i="3" s="1"/>
  <c r="AV113" i="3"/>
  <c r="AV114" i="3" s="1"/>
  <c r="AV98" i="3"/>
  <c r="AV93" i="3"/>
  <c r="AV92" i="3"/>
  <c r="AV79" i="3"/>
  <c r="AV77" i="3"/>
  <c r="AV76" i="3"/>
  <c r="AV72" i="3"/>
  <c r="AV59" i="3"/>
  <c r="AV51" i="3"/>
  <c r="AV50" i="3"/>
  <c r="AV49" i="3"/>
  <c r="AV47" i="3"/>
  <c r="AV64" i="3"/>
  <c r="AV65" i="3"/>
  <c r="AV53" i="3"/>
  <c r="AY80" i="6"/>
  <c r="AN78" i="3"/>
  <c r="AN107" i="3"/>
  <c r="AN109" i="3" s="1"/>
  <c r="AN102" i="3"/>
  <c r="AN103" i="3" s="1"/>
  <c r="AN125" i="3"/>
  <c r="AN122" i="3"/>
  <c r="AN124" i="3" s="1"/>
  <c r="AN98" i="3"/>
  <c r="AN99" i="3" s="1"/>
  <c r="AN93" i="3"/>
  <c r="AN79" i="3"/>
  <c r="AN77" i="3"/>
  <c r="AN76" i="3"/>
  <c r="AN72" i="3"/>
  <c r="AN59" i="3"/>
  <c r="AN61" i="3" s="1"/>
  <c r="AN51" i="3"/>
  <c r="AN50" i="3"/>
  <c r="AN49" i="3"/>
  <c r="AN47" i="3"/>
  <c r="AN64" i="3"/>
  <c r="AN65" i="3"/>
  <c r="AN53" i="3"/>
  <c r="G54" i="3"/>
  <c r="G66" i="3"/>
  <c r="BM48" i="3"/>
  <c r="BS48" i="3"/>
  <c r="G94" i="3"/>
  <c r="G124" i="3"/>
  <c r="G103" i="3"/>
  <c r="G109" i="3"/>
  <c r="BM42" i="3"/>
  <c r="T149" i="9"/>
  <c r="T150" i="9" s="1"/>
  <c r="T151" i="9" s="1"/>
  <c r="H149" i="9"/>
  <c r="H150" i="9" s="1"/>
  <c r="H151" i="9" s="1"/>
  <c r="V149" i="9"/>
  <c r="V150" i="9" s="1"/>
  <c r="V151" i="9" s="1"/>
  <c r="AB99" i="3"/>
  <c r="H80" i="6"/>
  <c r="AM114" i="3"/>
  <c r="Y114" i="3"/>
  <c r="AF114" i="3"/>
  <c r="AL114" i="3"/>
  <c r="T114" i="3"/>
  <c r="AT114" i="3"/>
  <c r="AJ114" i="3"/>
  <c r="AS114" i="3"/>
  <c r="AA114" i="3"/>
  <c r="AO114" i="3"/>
  <c r="AO99" i="3"/>
  <c r="AN114" i="3"/>
  <c r="AM80" i="6"/>
  <c r="AL61" i="3" s="1"/>
  <c r="S80" i="6"/>
  <c r="R61" i="3" s="1"/>
  <c r="R114" i="3"/>
  <c r="AN80" i="6"/>
  <c r="Z80" i="6"/>
  <c r="V80" i="6"/>
  <c r="AF80" i="6"/>
  <c r="AE61" i="3" s="1"/>
  <c r="R80" i="6"/>
  <c r="Q61" i="3" s="1"/>
  <c r="I80" i="6"/>
  <c r="L80" i="6"/>
  <c r="K61" i="3" s="1"/>
  <c r="M80" i="6"/>
  <c r="L61" i="3" s="1"/>
  <c r="AG80" i="6"/>
  <c r="AF61" i="3" s="1"/>
  <c r="AB114" i="3"/>
  <c r="AC80" i="6"/>
  <c r="AB61" i="3" s="1"/>
  <c r="X80" i="6"/>
  <c r="W61" i="3" s="1"/>
  <c r="N80" i="6"/>
  <c r="AI80" i="6"/>
  <c r="Y80" i="6"/>
  <c r="O80" i="6"/>
  <c r="AU80" i="6"/>
  <c r="W80" i="6"/>
  <c r="AK80" i="6"/>
  <c r="U80" i="6"/>
  <c r="T61" i="3" s="1"/>
  <c r="AS80" i="6"/>
  <c r="AP114" i="3"/>
  <c r="AP99" i="3"/>
  <c r="AJ80" i="6"/>
  <c r="P80" i="6"/>
  <c r="O114" i="3"/>
  <c r="AH80" i="6"/>
  <c r="AT80" i="6"/>
  <c r="AQ114" i="3"/>
  <c r="AQ99" i="3"/>
  <c r="Q80" i="6"/>
  <c r="AA80" i="6"/>
  <c r="AV80" i="6"/>
  <c r="K80" i="6"/>
  <c r="J80" i="6"/>
  <c r="AB80" i="6"/>
  <c r="AA61" i="3" s="1"/>
  <c r="AL80" i="6"/>
  <c r="T80" i="6"/>
  <c r="AE80" i="6"/>
  <c r="AD80" i="6"/>
  <c r="AW80" i="6"/>
  <c r="AX80" i="6"/>
  <c r="BM73" i="3"/>
  <c r="G81" i="3"/>
  <c r="BS52" i="3"/>
  <c r="U149" i="9"/>
  <c r="U150" i="9" s="1"/>
  <c r="U151" i="9" s="1"/>
  <c r="N149" i="9"/>
  <c r="N150" i="9" s="1"/>
  <c r="N151" i="9" s="1"/>
  <c r="X149" i="9"/>
  <c r="X150" i="9" s="1"/>
  <c r="X151" i="9" s="1"/>
  <c r="BI149" i="9"/>
  <c r="BI150" i="9" s="1"/>
  <c r="BI151" i="9" s="1"/>
  <c r="AD149" i="9"/>
  <c r="AD150" i="9" s="1"/>
  <c r="AD151" i="9" s="1"/>
  <c r="AX149" i="9"/>
  <c r="AX150" i="9" s="1"/>
  <c r="AX151" i="9" s="1"/>
  <c r="J149" i="9"/>
  <c r="J150" i="9" s="1"/>
  <c r="J151" i="9" s="1"/>
  <c r="E149" i="9"/>
  <c r="E150" i="9" s="1"/>
  <c r="E151" i="9" s="1"/>
  <c r="C40" i="9"/>
  <c r="I149" i="9"/>
  <c r="I150" i="9" s="1"/>
  <c r="I151" i="9" s="1"/>
  <c r="AC149" i="9"/>
  <c r="AC150" i="9" s="1"/>
  <c r="AC151" i="9" s="1"/>
  <c r="G149" i="9"/>
  <c r="G150" i="9" s="1"/>
  <c r="G151" i="9" s="1"/>
  <c r="O149" i="9"/>
  <c r="O150" i="9" s="1"/>
  <c r="O151" i="9" s="1"/>
  <c r="AA149" i="9"/>
  <c r="AA150" i="9" s="1"/>
  <c r="AA151" i="9" s="1"/>
  <c r="AE149" i="9"/>
  <c r="AE150" i="9" s="1"/>
  <c r="AE151" i="9" s="1"/>
  <c r="AG149" i="9"/>
  <c r="AG150" i="9" s="1"/>
  <c r="AG151" i="9" s="1"/>
  <c r="M149" i="9"/>
  <c r="M150" i="9" s="1"/>
  <c r="M151" i="9" s="1"/>
  <c r="D149" i="9"/>
  <c r="D150" i="9" s="1"/>
  <c r="D151" i="9" s="1"/>
  <c r="AW149" i="9"/>
  <c r="AW150" i="9" s="1"/>
  <c r="AW151" i="9" s="1"/>
  <c r="AQ149" i="9"/>
  <c r="AQ150" i="9" s="1"/>
  <c r="AQ151" i="9" s="1"/>
  <c r="R149" i="9"/>
  <c r="R150" i="9" s="1"/>
  <c r="R151" i="9" s="1"/>
  <c r="Q149" i="9"/>
  <c r="Q150" i="9" s="1"/>
  <c r="Q151" i="9" s="1"/>
  <c r="L149" i="9"/>
  <c r="L150" i="9" s="1"/>
  <c r="L151" i="9" s="1"/>
  <c r="K149" i="9"/>
  <c r="K150" i="9" s="1"/>
  <c r="K151" i="9" s="1"/>
  <c r="AZ149" i="9"/>
  <c r="AZ150" i="9" s="1"/>
  <c r="AZ151" i="9" s="1"/>
  <c r="AB149" i="9"/>
  <c r="AB150" i="9" s="1"/>
  <c r="AB151" i="9" s="1"/>
  <c r="BA149" i="9"/>
  <c r="BA150" i="9" s="1"/>
  <c r="BA151" i="9" s="1"/>
  <c r="F149" i="9"/>
  <c r="F150" i="9" s="1"/>
  <c r="F151" i="9" s="1"/>
  <c r="Z149" i="9"/>
  <c r="Z150" i="9" s="1"/>
  <c r="Z151" i="9" s="1"/>
  <c r="S149" i="9"/>
  <c r="S150" i="9" s="1"/>
  <c r="S151" i="9" s="1"/>
  <c r="AH149" i="9"/>
  <c r="AH150" i="9" s="1"/>
  <c r="AH151" i="9" s="1"/>
  <c r="W149" i="9"/>
  <c r="W150" i="9" s="1"/>
  <c r="W151" i="9" s="1"/>
  <c r="Y149" i="9"/>
  <c r="Y150" i="9" s="1"/>
  <c r="Y151" i="9" s="1"/>
  <c r="BS38" i="3"/>
  <c r="G40" i="3"/>
  <c r="BS42" i="3"/>
  <c r="BS44" i="3" s="1"/>
  <c r="BM44" i="3"/>
  <c r="G44" i="3"/>
  <c r="CA46" i="9"/>
  <c r="CA40" i="9"/>
  <c r="C54" i="9"/>
  <c r="CA54" i="9" s="1"/>
  <c r="CA42" i="9"/>
  <c r="CA44" i="9" s="1"/>
  <c r="C44" i="9"/>
  <c r="C107" i="3" l="1"/>
  <c r="C122" i="3"/>
  <c r="AI99" i="3"/>
  <c r="AB94" i="3"/>
  <c r="C102" i="3"/>
  <c r="AU94" i="3"/>
  <c r="U61" i="3"/>
  <c r="P61" i="3"/>
  <c r="X99" i="3"/>
  <c r="AM94" i="3"/>
  <c r="C113" i="3"/>
  <c r="M61" i="3"/>
  <c r="AH99" i="3"/>
  <c r="AV99" i="3"/>
  <c r="S94" i="3"/>
  <c r="I99" i="3"/>
  <c r="O94" i="3"/>
  <c r="AT99" i="3"/>
  <c r="W99" i="3"/>
  <c r="AL99" i="3"/>
  <c r="Z99" i="3"/>
  <c r="AJ99" i="3"/>
  <c r="C98" i="3"/>
  <c r="AN94" i="3"/>
  <c r="S61" i="3"/>
  <c r="AF94" i="3"/>
  <c r="C93" i="3"/>
  <c r="P99" i="3"/>
  <c r="R99" i="3"/>
  <c r="AV94" i="3"/>
  <c r="Q81" i="3"/>
  <c r="AU81" i="3"/>
  <c r="BM49" i="3"/>
  <c r="BM53" i="3"/>
  <c r="AJ94" i="3"/>
  <c r="K99" i="3"/>
  <c r="AK61" i="3"/>
  <c r="X81" i="3"/>
  <c r="J61" i="3"/>
  <c r="AS94" i="3"/>
  <c r="AR81" i="3"/>
  <c r="L81" i="3"/>
  <c r="AJ61" i="3"/>
  <c r="AC99" i="3"/>
  <c r="AA81" i="3"/>
  <c r="AN81" i="3"/>
  <c r="BM107" i="3"/>
  <c r="Q99" i="3"/>
  <c r="AR94" i="3"/>
  <c r="BM47" i="3"/>
  <c r="R81" i="3"/>
  <c r="H61" i="3"/>
  <c r="N61" i="3"/>
  <c r="Y61" i="3"/>
  <c r="T81" i="3"/>
  <c r="V81" i="3"/>
  <c r="K94" i="3"/>
  <c r="Z94" i="3"/>
  <c r="V61" i="3"/>
  <c r="AD81" i="3"/>
  <c r="AM81" i="3"/>
  <c r="J94" i="3"/>
  <c r="AG81" i="3"/>
  <c r="N94" i="3"/>
  <c r="AE81" i="3"/>
  <c r="AM61" i="3"/>
  <c r="AA94" i="3"/>
  <c r="Z81" i="3"/>
  <c r="V94" i="3"/>
  <c r="AB81" i="3"/>
  <c r="K81" i="3"/>
  <c r="I81" i="3"/>
  <c r="AH81" i="3"/>
  <c r="S81" i="3"/>
  <c r="O81" i="3"/>
  <c r="AL81" i="3"/>
  <c r="AT81" i="3"/>
  <c r="X94" i="3"/>
  <c r="U81" i="3"/>
  <c r="AV81" i="3"/>
  <c r="I94" i="3"/>
  <c r="P81" i="3"/>
  <c r="M81" i="3"/>
  <c r="T94" i="3"/>
  <c r="BM97" i="3"/>
  <c r="J81" i="3"/>
  <c r="AG94" i="3"/>
  <c r="AJ81" i="3"/>
  <c r="N81" i="3"/>
  <c r="AF81" i="3"/>
  <c r="AK81" i="3"/>
  <c r="AI81" i="3"/>
  <c r="I61" i="3"/>
  <c r="AS81" i="3"/>
  <c r="AH94" i="3"/>
  <c r="M94" i="3"/>
  <c r="Y81" i="3"/>
  <c r="O61" i="3"/>
  <c r="AC81" i="3"/>
  <c r="W81" i="3"/>
  <c r="H94" i="3"/>
  <c r="BS47" i="3"/>
  <c r="BS49" i="3"/>
  <c r="BS50" i="3"/>
  <c r="C61" i="3"/>
  <c r="H81" i="3"/>
  <c r="C114" i="3"/>
  <c r="H124" i="3"/>
  <c r="H103" i="3"/>
  <c r="H109" i="3"/>
  <c r="BM109" i="3"/>
  <c r="BO109" i="3" s="1"/>
  <c r="BO107" i="3"/>
  <c r="AN66" i="3"/>
  <c r="AV66" i="3"/>
  <c r="AC66" i="3"/>
  <c r="AD66" i="3"/>
  <c r="S66" i="3"/>
  <c r="AK66" i="3"/>
  <c r="AA66" i="3"/>
  <c r="I66" i="3"/>
  <c r="J66" i="3"/>
  <c r="AU66" i="3"/>
  <c r="Z66" i="3"/>
  <c r="P66" i="3"/>
  <c r="AS66" i="3"/>
  <c r="AG66" i="3"/>
  <c r="O66" i="3"/>
  <c r="AI66" i="3"/>
  <c r="AR66" i="3"/>
  <c r="T66" i="3"/>
  <c r="AJ66" i="3"/>
  <c r="V66" i="3"/>
  <c r="AT66" i="3"/>
  <c r="N66" i="3"/>
  <c r="X66" i="3"/>
  <c r="AH66" i="3"/>
  <c r="M66" i="3"/>
  <c r="W66" i="3"/>
  <c r="AB66" i="3"/>
  <c r="AL66" i="3"/>
  <c r="AF66" i="3"/>
  <c r="L66" i="3"/>
  <c r="K66" i="3"/>
  <c r="H66" i="3"/>
  <c r="BM50" i="3"/>
  <c r="BM51" i="3"/>
  <c r="Q66" i="3"/>
  <c r="AE66" i="3"/>
  <c r="U66" i="3"/>
  <c r="Y66" i="3"/>
  <c r="AM66" i="3"/>
  <c r="R66" i="3"/>
  <c r="G61" i="3"/>
  <c r="AV61" i="3"/>
  <c r="AU61" i="3"/>
  <c r="AS61" i="3"/>
  <c r="AR61" i="3"/>
  <c r="AT61" i="3"/>
  <c r="AI61" i="3"/>
  <c r="AH61" i="3"/>
  <c r="AC61" i="3"/>
  <c r="AG61" i="3"/>
  <c r="AD61" i="3"/>
  <c r="G99" i="3"/>
  <c r="G114" i="3"/>
  <c r="BS39" i="3"/>
  <c r="BS40" i="3" s="1"/>
  <c r="BM40" i="3"/>
  <c r="CA55" i="9"/>
  <c r="CA149" i="9" s="1"/>
  <c r="CA150" i="9" s="1"/>
  <c r="CA151" i="9" s="1"/>
  <c r="CQ155" i="9" s="1"/>
  <c r="C55" i="9"/>
  <c r="C149" i="9" s="1"/>
  <c r="C150" i="9" s="1"/>
  <c r="C151" i="9" s="1"/>
  <c r="BS113" i="3" l="1"/>
  <c r="BS114" i="3" s="1"/>
  <c r="BM113" i="3"/>
  <c r="BM114" i="3" s="1"/>
  <c r="BO114" i="3" s="1"/>
  <c r="BS78" i="3"/>
  <c r="BM78" i="3"/>
  <c r="BO78" i="3" s="1"/>
  <c r="C109" i="3"/>
  <c r="BS107" i="3"/>
  <c r="C103" i="3"/>
  <c r="BM102" i="3"/>
  <c r="BS102" i="3"/>
  <c r="BS103" i="3" s="1"/>
  <c r="BS125" i="3"/>
  <c r="BM125" i="3"/>
  <c r="BO125" i="3" s="1"/>
  <c r="C124" i="3"/>
  <c r="BS122" i="3"/>
  <c r="BM122" i="3"/>
  <c r="BM98" i="3"/>
  <c r="BS98" i="3"/>
  <c r="C99" i="3"/>
  <c r="BS93" i="3"/>
  <c r="BM93" i="3"/>
  <c r="BO93" i="3" s="1"/>
  <c r="BS79" i="3"/>
  <c r="BM79" i="3"/>
  <c r="BO79" i="3" s="1"/>
  <c r="BS77" i="3"/>
  <c r="BM77" i="3"/>
  <c r="BO77" i="3" s="1"/>
  <c r="BS76" i="3"/>
  <c r="BM76" i="3"/>
  <c r="BO76" i="3" s="1"/>
  <c r="C81" i="3"/>
  <c r="BS72" i="3"/>
  <c r="BS81" i="3" s="1"/>
  <c r="BM72" i="3"/>
  <c r="C66" i="3"/>
  <c r="BM64" i="3"/>
  <c r="BS64" i="3"/>
  <c r="BM65" i="3"/>
  <c r="BO65" i="3" s="1"/>
  <c r="BS65" i="3"/>
  <c r="C94" i="3"/>
  <c r="BS92" i="3"/>
  <c r="BS94" i="3" s="1"/>
  <c r="BM92" i="3"/>
  <c r="Z61" i="3"/>
  <c r="BM59" i="3"/>
  <c r="BN59" i="3" s="1"/>
  <c r="G160" i="3"/>
  <c r="G161" i="3" s="1"/>
  <c r="G162" i="3" s="1"/>
  <c r="X61" i="3"/>
  <c r="BO113" i="3" l="1"/>
  <c r="BO92" i="3"/>
  <c r="BM94" i="3"/>
  <c r="BM66" i="3"/>
  <c r="BO66" i="3" s="1"/>
  <c r="BO64" i="3"/>
  <c r="BO72" i="3"/>
  <c r="BM81" i="3"/>
  <c r="BO81" i="3" s="1"/>
  <c r="BO98" i="3"/>
  <c r="BM99" i="3"/>
  <c r="BO99" i="3" s="1"/>
  <c r="BM124" i="3"/>
  <c r="BO124" i="3" s="1"/>
  <c r="BO122" i="3"/>
  <c r="BS124" i="3" s="1"/>
  <c r="BM103" i="3"/>
  <c r="BO103" i="3" s="1"/>
  <c r="BO102" i="3"/>
  <c r="BS59" i="3"/>
  <c r="BS61" i="3" s="1"/>
  <c r="B61" i="3"/>
  <c r="BM61" i="3" s="1"/>
  <c r="BS51" i="3"/>
  <c r="BS160" i="3"/>
  <c r="BS161" i="3" s="1"/>
  <c r="BS162" i="3" s="1"/>
  <c r="B44" i="3"/>
  <c r="BS53" i="3"/>
  <c r="X46" i="3"/>
  <c r="X54" i="3" s="1"/>
  <c r="X160" i="3" s="1"/>
  <c r="X161" i="3" s="1"/>
  <c r="X162" i="3" s="1"/>
  <c r="Z46" i="3"/>
  <c r="Z54" i="3" s="1"/>
  <c r="Z160" i="3" s="1"/>
  <c r="Z161" i="3" s="1"/>
  <c r="Z162" i="3" s="1"/>
  <c r="AV46" i="3"/>
  <c r="AV54" i="3"/>
  <c r="AV160" i="3"/>
  <c r="AV161" i="3" s="1"/>
  <c r="AV162" i="3" s="1"/>
  <c r="AU46" i="3"/>
  <c r="AU54" i="3" s="1"/>
  <c r="AU160" i="3" s="1"/>
  <c r="AU161" i="3" s="1"/>
  <c r="AU162" i="3" s="1"/>
  <c r="AS46" i="3"/>
  <c r="AS54" i="3"/>
  <c r="AS160" i="3" s="1"/>
  <c r="AS161" i="3" s="1"/>
  <c r="AS162" i="3" s="1"/>
  <c r="AR46" i="3"/>
  <c r="AR54" i="3" s="1"/>
  <c r="AR160" i="3" s="1"/>
  <c r="AR161" i="3" s="1"/>
  <c r="AR162" i="3" s="1"/>
  <c r="AT46" i="3"/>
  <c r="AT54" i="3"/>
  <c r="AT160" i="3"/>
  <c r="AT161" i="3" s="1"/>
  <c r="AT162" i="3" s="1"/>
  <c r="AI46" i="3"/>
  <c r="AI54" i="3"/>
  <c r="AI160" i="3" s="1"/>
  <c r="AI161" i="3" s="1"/>
  <c r="AI162" i="3" s="1"/>
  <c r="AH46" i="3"/>
  <c r="AH54" i="3"/>
  <c r="AH160" i="3" s="1"/>
  <c r="AH161" i="3" s="1"/>
  <c r="AH162" i="3" s="1"/>
  <c r="AC46" i="3"/>
  <c r="AC54" i="3" s="1"/>
  <c r="AC160" i="3" s="1"/>
  <c r="AC161" i="3" s="1"/>
  <c r="AC162" i="3" s="1"/>
  <c r="AG46" i="3"/>
  <c r="AG54" i="3" s="1"/>
  <c r="AG160" i="3" s="1"/>
  <c r="AG161" i="3" s="1"/>
  <c r="AG162" i="3" s="1"/>
  <c r="AD46" i="3"/>
  <c r="AD54" i="3"/>
  <c r="AD160" i="3" s="1"/>
  <c r="AD161" i="3" s="1"/>
  <c r="AD162" i="3" s="1"/>
  <c r="AE46" i="3"/>
  <c r="AE54" i="3" s="1"/>
  <c r="AE160" i="3" s="1"/>
  <c r="AE161" i="3" s="1"/>
  <c r="AE162" i="3" s="1"/>
  <c r="K46" i="3"/>
  <c r="K54" i="3" s="1"/>
  <c r="K160" i="3" s="1"/>
  <c r="K161" i="3" s="1"/>
  <c r="K162" i="3" s="1"/>
  <c r="I46" i="3"/>
  <c r="I54" i="3" s="1"/>
  <c r="I160" i="3"/>
  <c r="I161" i="3" s="1"/>
  <c r="I162" i="3" s="1"/>
  <c r="AK46" i="3"/>
  <c r="AK54" i="3" s="1"/>
  <c r="AK160" i="3" s="1"/>
  <c r="AK161" i="3" s="1"/>
  <c r="AK162" i="3" s="1"/>
  <c r="AJ46" i="3"/>
  <c r="AJ54" i="3" s="1"/>
  <c r="AJ160" i="3" s="1"/>
  <c r="AJ161" i="3" s="1"/>
  <c r="AJ162" i="3" s="1"/>
  <c r="AM46" i="3"/>
  <c r="AM54" i="3"/>
  <c r="AM160" i="3" s="1"/>
  <c r="AM161" i="3" s="1"/>
  <c r="AM162" i="3" s="1"/>
  <c r="AN46" i="3"/>
  <c r="AN54" i="3" s="1"/>
  <c r="AN160" i="3" s="1"/>
  <c r="AN161" i="3" s="1"/>
  <c r="AN162" i="3" s="1"/>
  <c r="AB46" i="3"/>
  <c r="AB54" i="3"/>
  <c r="AB160" i="3" s="1"/>
  <c r="AB161" i="3" s="1"/>
  <c r="AB162" i="3" s="1"/>
  <c r="T46" i="3"/>
  <c r="T54" i="3"/>
  <c r="T160" i="3"/>
  <c r="T161" i="3"/>
  <c r="T162" i="3"/>
  <c r="L46" i="3"/>
  <c r="L54" i="3" s="1"/>
  <c r="L160" i="3"/>
  <c r="L161" i="3"/>
  <c r="L162" i="3"/>
  <c r="AF46" i="3"/>
  <c r="AF54" i="3" s="1"/>
  <c r="AF160" i="3" s="1"/>
  <c r="AF161" i="3" s="1"/>
  <c r="AF162" i="3" s="1"/>
  <c r="P46" i="3"/>
  <c r="P54" i="3"/>
  <c r="P160" i="3"/>
  <c r="P161" i="3" s="1"/>
  <c r="P162" i="3" s="1"/>
  <c r="U46" i="3"/>
  <c r="U54" i="3"/>
  <c r="U160" i="3"/>
  <c r="U161" i="3" s="1"/>
  <c r="U162" i="3" s="1"/>
  <c r="V46" i="3"/>
  <c r="V54" i="3"/>
  <c r="V160" i="3" s="1"/>
  <c r="V161" i="3" s="1"/>
  <c r="V162" i="3" s="1"/>
  <c r="O46" i="3"/>
  <c r="O54" i="3"/>
  <c r="O160" i="3"/>
  <c r="O161" i="3" s="1"/>
  <c r="O162" i="3" s="1"/>
  <c r="S46" i="3"/>
  <c r="S54" i="3" s="1"/>
  <c r="S160" i="3" s="1"/>
  <c r="S161" i="3" s="1"/>
  <c r="S162" i="3" s="1"/>
  <c r="W46" i="3"/>
  <c r="W54" i="3"/>
  <c r="W160" i="3"/>
  <c r="W161" i="3" s="1"/>
  <c r="W162" i="3" s="1"/>
  <c r="H46" i="3"/>
  <c r="AA46" i="3"/>
  <c r="AA54" i="3"/>
  <c r="AA160" i="3"/>
  <c r="AA161" i="3" s="1"/>
  <c r="AA162" i="3" s="1"/>
  <c r="N46" i="3"/>
  <c r="N54" i="3" s="1"/>
  <c r="N160" i="3" s="1"/>
  <c r="N161" i="3" s="1"/>
  <c r="N162" i="3" s="1"/>
  <c r="J46" i="3"/>
  <c r="J54" i="3" s="1"/>
  <c r="J160" i="3"/>
  <c r="J161" i="3" s="1"/>
  <c r="J162" i="3" s="1"/>
  <c r="M46" i="3"/>
  <c r="M54" i="3" s="1"/>
  <c r="M160" i="3" s="1"/>
  <c r="M161" i="3" s="1"/>
  <c r="M162" i="3" s="1"/>
  <c r="R46" i="3"/>
  <c r="R54" i="3"/>
  <c r="R160" i="3"/>
  <c r="R161" i="3" s="1"/>
  <c r="R162" i="3" s="1"/>
  <c r="Q46" i="3"/>
  <c r="Q54" i="3"/>
  <c r="Q160" i="3"/>
  <c r="Q161" i="3"/>
  <c r="Q162" i="3"/>
  <c r="AL46" i="3"/>
  <c r="AL54" i="3" s="1"/>
  <c r="AL160" i="3" s="1"/>
  <c r="AL161" i="3" s="1"/>
  <c r="AL162" i="3" s="1"/>
  <c r="Y46" i="3"/>
  <c r="Y54" i="3"/>
  <c r="Y160" i="3"/>
  <c r="Y161" i="3" s="1"/>
  <c r="Y162" i="3" s="1"/>
  <c r="AP46" i="3"/>
  <c r="AP54" i="3"/>
  <c r="AP160" i="3"/>
  <c r="AP161" i="3" s="1"/>
  <c r="AP162" i="3" s="1"/>
  <c r="AO46" i="3"/>
  <c r="AO54" i="3" s="1"/>
  <c r="AO160" i="3" s="1"/>
  <c r="AO161" i="3" s="1"/>
  <c r="AO162" i="3" s="1"/>
  <c r="AQ46" i="3"/>
  <c r="AQ54" i="3" s="1"/>
  <c r="AQ160" i="3" s="1"/>
  <c r="AQ161" i="3" s="1"/>
  <c r="AQ162" i="3" s="1"/>
  <c r="B54" i="3"/>
  <c r="C46" i="3" l="1"/>
  <c r="AY165" i="3"/>
  <c r="B160" i="3"/>
  <c r="BO94" i="3"/>
  <c r="BZ205" i="1"/>
  <c r="H54" i="3"/>
  <c r="H160" i="3" s="1"/>
  <c r="H161" i="3" s="1"/>
  <c r="H162" i="3" s="1"/>
  <c r="C54" i="3"/>
  <c r="C160" i="3" s="1"/>
  <c r="C161" i="3" s="1"/>
  <c r="BM46" i="3"/>
  <c r="BM54" i="3" s="1"/>
  <c r="BM160" i="3" s="1"/>
  <c r="BS46" i="3"/>
  <c r="BS54" i="3" s="1"/>
  <c r="B23" i="3"/>
  <c r="B33" i="3" s="1"/>
  <c r="B34" i="3" s="1"/>
  <c r="B161" i="3" s="1"/>
  <c r="B162" i="3" s="1"/>
  <c r="BM20" i="3"/>
  <c r="BM23" i="3" s="1"/>
  <c r="BS20" i="3"/>
  <c r="BS23" i="3" s="1"/>
  <c r="C162" i="3" l="1"/>
  <c r="BM33" i="3"/>
  <c r="BN35" i="3"/>
  <c r="BM34" i="3" l="1"/>
  <c r="BM161" i="3" s="1"/>
  <c r="BM162" i="3" s="1"/>
  <c r="CD166" i="3" s="1"/>
  <c r="BO33" i="3"/>
  <c r="BM3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tc={6CEF1D78-0D1B-4BDE-96D2-5C80AB544902}</author>
    <author>tc={371D8B1A-5857-4CA8-864B-5424060578E3}</author>
    <author>Zakiya Waller</author>
    <author>tc={5C37B60C-387D-45B6-A9F1-2BF9DF597226}</author>
    <author>tc={D8ECE410-2460-45B8-BE29-0DA77BF699F0}</author>
    <author>tc={A9A1C413-07FC-49A2-8369-89AD220761E1}</author>
    <author>tc={C74E86DA-B444-4BA5-8D47-C4055E794D5B}</author>
    <author>tc={816E031C-DDD2-4E2C-9958-D1B682035309}</author>
    <author>tc={98F6CFF6-B5EA-4EA0-96A1-B055F84126E5}</author>
    <author>tc={B2E94608-27BB-4B56-B019-F2EF3D5CA1AA}</author>
    <author>tc={B0361A85-8FFC-4381-8F9E-1EF79312FF28}</author>
    <author>tc={55626282-FFF8-4479-BC60-08B331D2D153}</author>
    <author>tc={05EBECE9-27B2-4752-814C-CB8FB1141918}</author>
    <author>tc={2BDF900B-B9A6-4FE4-9E64-D0D8446B12E1}</author>
    <author>tc={EC5D2D1D-7001-4BC8-ADD3-AF826E9E474F}</author>
    <author>tc={E7C172C3-70CA-4840-9863-886A9B051A97}</author>
    <author>tc={74AC3A8D-77D4-4FA2-BC97-93DFA0FBDDCE}</author>
    <author>tc={40628BF2-564C-42EB-BF7B-DE9AE87754D1}</author>
    <author>tc={D7C4898C-BB78-49E1-A2E4-3F65AD830F3B}</author>
    <author>tc={53BA84CC-6C77-4FAC-AAEC-B6B899241A55}</author>
  </authors>
  <commentList>
    <comment ref="CB7" authorId="0" shapeId="0" xr:uid="{6CEF1D78-0D1B-4BDE-96D2-5C80AB544902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% of total expense for that line item amongst the various programs</t>
      </text>
    </comment>
    <comment ref="CC7" authorId="1" shapeId="0" xr:uid="{371D8B1A-5857-4CA8-864B-5424060578E3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June YTD x 2 for 12 months x various % raises BEFORE I spread ARP 2024 June YTD expense x 2 throughout the programs</t>
      </text>
    </comment>
    <comment ref="BW12" authorId="2" shapeId="0" xr:uid="{93FBF64F-DCEF-4982-B1DD-0DA2C90C3CE0}">
      <text>
        <r>
          <rPr>
            <b/>
            <sz val="9"/>
            <color indexed="81"/>
            <rFont val="Tahoma"/>
            <family val="2"/>
          </rPr>
          <t>Zakiya Waller:</t>
        </r>
        <r>
          <rPr>
            <sz val="9"/>
            <color indexed="81"/>
            <rFont val="Tahoma"/>
            <family val="2"/>
          </rPr>
          <t xml:space="preserve">
$68,806-Outreach
$382,233-Crisis
$10,078-Weather related/Supply shortage</t>
        </r>
      </text>
    </comment>
    <comment ref="AI14" authorId="2" shapeId="0" xr:uid="{A3968B63-48C0-4D5B-BE6F-C2793919B4A6}">
      <text>
        <r>
          <rPr>
            <b/>
            <sz val="9"/>
            <color indexed="81"/>
            <rFont val="Tahoma"/>
            <family val="2"/>
          </rPr>
          <t>Zakiya Waller:</t>
        </r>
        <r>
          <rPr>
            <sz val="9"/>
            <color indexed="81"/>
            <rFont val="Tahoma"/>
            <family val="2"/>
          </rPr>
          <t xml:space="preserve">
No funding received for 2024.  This is not guarnteed.</t>
        </r>
      </text>
    </comment>
    <comment ref="BI14" authorId="3" shapeId="0" xr:uid="{5C37B60C-387D-45B6-A9F1-2BF9DF597226}">
      <text>
        <t>[Threaded comment]
Your version of Excel allows you to read this threaded comment; however, any edits to it will get removed if the file is opened in a newer version of Excel. Learn more: https://go.microsoft.com/fwlink/?linkid=870924
Comment:
    revenue stated is off contract</t>
      </text>
    </comment>
    <comment ref="E19" authorId="2" shapeId="0" xr:uid="{7EFEDE42-46E7-4DB4-ABD2-EF3A21006FB5}">
      <text>
        <r>
          <rPr>
            <b/>
            <sz val="9"/>
            <color indexed="81"/>
            <rFont val="Tahoma"/>
            <family val="2"/>
          </rPr>
          <t>Zakiya Waller:</t>
        </r>
        <r>
          <rPr>
            <sz val="9"/>
            <color indexed="81"/>
            <rFont val="Tahoma"/>
            <family val="2"/>
          </rPr>
          <t xml:space="preserve">
Donations to MHSI are not expected</t>
        </r>
      </text>
    </comment>
    <comment ref="N19" authorId="2" shapeId="0" xr:uid="{C12F2037-DF96-4C6F-BBA2-7B4ACC92EF23}">
      <text>
        <r>
          <rPr>
            <b/>
            <sz val="9"/>
            <color indexed="81"/>
            <rFont val="Tahoma"/>
            <family val="2"/>
          </rPr>
          <t>Zakiya Waller:</t>
        </r>
        <r>
          <rPr>
            <sz val="9"/>
            <color indexed="81"/>
            <rFont val="Tahoma"/>
            <family val="2"/>
          </rPr>
          <t xml:space="preserve">
Donations to SHINE are not expected</t>
        </r>
      </text>
    </comment>
    <comment ref="AW19" authorId="2" shapeId="0" xr:uid="{D818002C-6625-4DAF-B715-FA541B3C0E03}">
      <text>
        <r>
          <rPr>
            <b/>
            <sz val="9"/>
            <color indexed="81"/>
            <rFont val="Tahoma"/>
            <family val="2"/>
          </rPr>
          <t>Zakiya Waller:</t>
        </r>
        <r>
          <rPr>
            <sz val="9"/>
            <color indexed="81"/>
            <rFont val="Tahoma"/>
            <family val="2"/>
          </rPr>
          <t xml:space="preserve">
One time donation</t>
        </r>
      </text>
    </comment>
    <comment ref="AR21" authorId="2" shapeId="0" xr:uid="{C574CF51-87A6-4FD7-8947-D3A71F68CE80}">
      <text>
        <r>
          <rPr>
            <b/>
            <sz val="9"/>
            <color indexed="81"/>
            <rFont val="Tahoma"/>
            <family val="2"/>
          </rPr>
          <t>Zakiya Waller:</t>
        </r>
        <r>
          <rPr>
            <sz val="9"/>
            <color indexed="81"/>
            <rFont val="Tahoma"/>
            <family val="2"/>
          </rPr>
          <t xml:space="preserve">
May not occur</t>
        </r>
      </text>
    </comment>
    <comment ref="BG37" authorId="4" shapeId="0" xr:uid="{D8ECE410-2460-45B8-BE29-0DA77BF699F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salaries in 2025</t>
      </text>
    </comment>
    <comment ref="C57" authorId="5" shapeId="0" xr:uid="{A9A1C413-07FC-49A2-8369-89AD220761E1}">
      <text>
        <t>[Threaded comment]
Your version of Excel allows you to read this threaded comment; however, any edits to it will get removed if the file is opened in a newer version of Excel. Learn more: https://go.microsoft.com/fwlink/?linkid=870924
Comment:
    Subtracted $32,950 in Fontana Bills in 2024</t>
      </text>
    </comment>
    <comment ref="BA57" authorId="6" shapeId="0" xr:uid="{C74E86DA-B444-4BA5-8D47-C4055E794D5B}">
      <text>
        <t>[Threaded comment]
Your version of Excel allows you to read this threaded comment; however, any edits to it will get removed if the file is opened in a newer version of Excel. Learn more: https://go.microsoft.com/fwlink/?linkid=870924
Comment:
    Relentless $2500 each per month</t>
      </text>
    </comment>
    <comment ref="A60" authorId="7" shapeId="0" xr:uid="{816E031C-DDD2-4E2C-9958-D1B682035309}">
      <text>
        <t>[Threaded comment]
Your version of Excel allows you to read this threaded comment; however, any edits to it will get removed if the file is opened in a newer version of Excel. Learn more: https://go.microsoft.com/fwlink/?linkid=870924
Comment:
    Breakdown below</t>
      </text>
    </comment>
    <comment ref="C84" authorId="8" shapeId="0" xr:uid="{98F6CFF6-B5EA-4EA0-96A1-B055F84126E5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total ARP expenses ALL to 1005 since it was near 100% of total expenses for this line item</t>
      </text>
    </comment>
    <comment ref="C85" authorId="9" shapeId="0" xr:uid="{B2E94608-27BB-4B56-B019-F2EF3D5CA1AA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total ARP expenses ALL to 1005 since it was near 100% of total expenses for this line item</t>
      </text>
    </comment>
    <comment ref="D93" authorId="10" shapeId="0" xr:uid="{B0361A85-8FFC-4381-8F9E-1EF79312FF28}">
      <text>
        <t>[Threaded comment]
Your version of Excel allows you to read this threaded comment; however, any edits to it will get removed if the file is opened in a newer version of Excel. Learn more: https://go.microsoft.com/fwlink/?linkid=870924
Comment:
    Zeroed out 1100 surplus so I transferred $2061.36 expense from 1100 to 1010</t>
      </text>
    </comment>
    <comment ref="AB93" authorId="11" shapeId="0" xr:uid="{55626282-FFF8-4479-BC60-08B331D2D153}">
      <text>
        <t>[Threaded comment]
Your version of Excel allows you to read this threaded comment; however, any edits to it will get removed if the file is opened in a newer version of Excel. Learn more: https://go.microsoft.com/fwlink/?linkid=870924
Comment:
    Subtracted amount to make total budget match Cisco's small equipment spreadsheet tab</t>
      </text>
    </comment>
    <comment ref="AZ93" authorId="12" shapeId="0" xr:uid="{05EBECE9-27B2-4752-814C-CB8FB1141918}">
      <text>
        <t>[Threaded comment]
Your version of Excel allows you to read this threaded comment; however, any edits to it will get removed if the file is opened in a newer version of Excel. Learn more: https://go.microsoft.com/fwlink/?linkid=870924
Comment:
    Zeroed out 1100 surplus so I transferred $2061.36 expense from 1100 to 1010</t>
      </text>
    </comment>
    <comment ref="BI94" authorId="13" shapeId="0" xr:uid="{2BDF900B-B9A6-4FE4-9E64-D0D8446B12E1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Inserted this amount here to zero 2503 Surplus.  Expense was previously in 2502 which I zeroed out of 2502</t>
      </text>
    </comment>
    <comment ref="D107" authorId="14" shapeId="0" xr:uid="{EC5D2D1D-7001-4BC8-ADD3-AF826E9E474F}">
      <text>
        <t>[Threaded comment]
Your version of Excel allows you to read this threaded comment; however, any edits to it will get removed if the file is opened in a newer version of Excel. Learn more: https://go.microsoft.com/fwlink/?linkid=870924
Comment:
    Zeroed out surplus by subtracting $21.52 expense and transferring $21.52 to 1010 on the same line item</t>
      </text>
    </comment>
    <comment ref="H107" authorId="15" shapeId="0" xr:uid="{E7C172C3-70CA-4840-9863-886A9B051A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Zeroed out surplus by subtracting $21.52 expense and transferring $21.52 to 1010 on the same line item </t>
      </text>
    </comment>
    <comment ref="BB119" authorId="16" shapeId="0" xr:uid="{74AC3A8D-77D4-4FA2-BC97-93DFA0FBDDCE}">
      <text>
        <t>[Threaded comment]
Your version of Excel allows you to read this threaded comment; however, any edits to it will get removed if the file is opened in a newer version of Excel. Learn more: https://go.microsoft.com/fwlink/?linkid=870924
Comment:
    2 months depreciation on Fixed assets.  Both assets will be fully depreciated on 2-28-25</t>
      </text>
    </comment>
    <comment ref="BG126" authorId="17" shapeId="0" xr:uid="{40628BF2-564C-42EB-BF7B-DE9AE87754D1}">
      <text>
        <t>[Threaded comment]
Your version of Excel allows you to read this threaded comment; however, any edits to it will get removed if the file is opened in a newer version of Excel. Learn more: https://go.microsoft.com/fwlink/?linkid=870924
Comment:
    Zeroed out this Grantt's expense because it expires on 12-31-24</t>
      </text>
    </comment>
    <comment ref="BH126" authorId="18" shapeId="0" xr:uid="{D7C4898C-BB78-49E1-A2E4-3F65AD830F3B}">
      <text>
        <t>[Threaded comment]
Your version of Excel allows you to read this threaded comment; however, any edits to it will get removed if the file is opened in a newer version of Excel. Learn more: https://go.microsoft.com/fwlink/?linkid=870924
Comment:
    Zeroed out this Grantt's expense because it expires on 12-31-24</t>
      </text>
    </comment>
    <comment ref="BI126" authorId="19" shapeId="0" xr:uid="{53BA84CC-6C77-4FAC-AAEC-B6B899241A5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Kristina stated 100K in expenses in this line to offset the 110K revenue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tc={E0D451AE-DE16-422D-9C39-E3C4D37230D6}</author>
    <author>tc={1134C6C5-4894-483A-A5A8-59353723034F}</author>
    <author>Kristina Jalazo</author>
    <author>Zakiya Waller</author>
    <author>tc={5CFE3A22-99E9-459E-93FF-0A409548F028}</author>
  </authors>
  <commentList>
    <comment ref="BN8" authorId="0" shapeId="0" xr:uid="{E0D451AE-DE16-422D-9C39-E3C4D37230D6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% of total expense for that line item amongst the various programs</t>
      </text>
    </comment>
    <comment ref="BO8" authorId="1" shapeId="0" xr:uid="{1134C6C5-4894-483A-A5A8-59353723034F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June YTD x 2 for 12 months x various % raises BEFORE I spread ARP 2024 June YTD expense x 2 throughout the programs</t>
      </text>
    </comment>
    <comment ref="AQ13" authorId="2" shapeId="0" xr:uid="{E7F3E1D6-7673-487E-A42B-07651549ECB6}">
      <text>
        <r>
          <rPr>
            <sz val="8"/>
            <rFont val="Arial"/>
            <family val="2"/>
          </rPr>
          <t xml:space="preserve">Kristina Jalazo:
$200 added from Shopping Assistance </t>
        </r>
      </text>
    </comment>
    <comment ref="AR20" authorId="3" shapeId="0" xr:uid="{8BACD279-4062-4B3D-8C00-1A9318A743E1}">
      <text>
        <r>
          <rPr>
            <sz val="8"/>
            <rFont val="Arial"/>
            <family val="2"/>
          </rPr>
          <t xml:space="preserve">Zakiya Waller:
One time donation of $6,600 but adding $17,500 for Chapters Health grant that we get annually </t>
        </r>
      </text>
    </comment>
    <comment ref="A59" authorId="4" shapeId="0" xr:uid="{5CFE3A22-99E9-459E-93FF-0A409548F028}">
      <text>
        <t>[Threaded comment]
Your version of Excel allows you to read this threaded comment; however, any edits to it will get removed if the file is opened in a newer version of Excel. Learn more: https://go.microsoft.com/fwlink/?linkid=870924
Comment:
    Breakdown below</t>
      </text>
    </comment>
  </commentList>
</comments>
</file>

<file path=xl/sharedStrings.xml><?xml version="1.0" encoding="utf-8"?>
<sst xmlns="http://schemas.openxmlformats.org/spreadsheetml/2006/main" count="3551" uniqueCount="1011">
  <si>
    <t>Area Agency On Aging of Pasco-Pinellas, Inc.</t>
  </si>
  <si>
    <t>AAAPP</t>
  </si>
  <si>
    <t>YTD Income Statement by Program</t>
  </si>
  <si>
    <t>From Jan 2024 to Jun 2024</t>
  </si>
  <si>
    <t/>
  </si>
  <si>
    <t>Options: Activity Only</t>
  </si>
  <si>
    <t>Financial Row</t>
  </si>
  <si>
    <t>- No Class -</t>
  </si>
  <si>
    <t>1005 OAA Admin</t>
  </si>
  <si>
    <t>1010 OAA IIIB I-R</t>
  </si>
  <si>
    <t>1011 OAA III B Mental Health Services</t>
  </si>
  <si>
    <t>1012 OAA III B Intake</t>
  </si>
  <si>
    <t>1014 OAA IIIB Outreach</t>
  </si>
  <si>
    <t>1015 OAA III B LAN</t>
  </si>
  <si>
    <t>1016 OAA III E</t>
  </si>
  <si>
    <t>1017 GR CCE Intake</t>
  </si>
  <si>
    <t>1018 GR ADI Intake</t>
  </si>
  <si>
    <t>1020 EHEAP</t>
  </si>
  <si>
    <t>1021 MIPPA</t>
  </si>
  <si>
    <t>1025 SHINE</t>
  </si>
  <si>
    <t>1026 SMP</t>
  </si>
  <si>
    <t>1027 OAA IIID Diabetes Self Management Program (DSMP)</t>
  </si>
  <si>
    <t>1028 OAA IIID Chronic Disease Self Management Program (CDSMP</t>
  </si>
  <si>
    <t>1029 OAA IIID Chronic Pain Self Management Program (CPSMP)</t>
  </si>
  <si>
    <t>1030 OAA Title 7</t>
  </si>
  <si>
    <t>1031 OAA III D Savvy</t>
  </si>
  <si>
    <t>1032 GR ADI Admin</t>
  </si>
  <si>
    <t>1033 GR CCE Admin</t>
  </si>
  <si>
    <t>1034 GR HCE Admin</t>
  </si>
  <si>
    <t>1035 Med Waiver Specialist</t>
  </si>
  <si>
    <t>1036 LSP ADMIN</t>
  </si>
  <si>
    <t>1037 LSP III B I-R</t>
  </si>
  <si>
    <t>1038 LSP III B MHSI</t>
  </si>
  <si>
    <t>1039 Med Waiver ADRC</t>
  </si>
  <si>
    <t>1046 0AA III B Education Individual</t>
  </si>
  <si>
    <t>1047 OAA III B Education Group</t>
  </si>
  <si>
    <t>1060 AAAPP Diapers For Dignity</t>
  </si>
  <si>
    <t>1065 VA Bay Pines Hospital</t>
  </si>
  <si>
    <t>1066 VA James Haley Hospital</t>
  </si>
  <si>
    <t>1069 Grant Well Med</t>
  </si>
  <si>
    <t>1076 ARP OAA Mental Health Counseling</t>
  </si>
  <si>
    <t>1077 ARP OAA Short Term Case Management</t>
  </si>
  <si>
    <t>1078 ARP OAA Savvy Care Giver</t>
  </si>
  <si>
    <t>1080 ARP OAA Admin</t>
  </si>
  <si>
    <t>1081 ARP OAA Pet Support</t>
  </si>
  <si>
    <t>1082 ARP OAA Technology</t>
  </si>
  <si>
    <t>1084 ARP OAA PEARLS</t>
  </si>
  <si>
    <t>1087 OAA III D A Matter of Balance</t>
  </si>
  <si>
    <t>1088 AAAPP Client Unmet Needs</t>
  </si>
  <si>
    <t>1089 ARP OAA IIIB Telephone Reassurance</t>
  </si>
  <si>
    <t>1091 OAA III B TERA</t>
  </si>
  <si>
    <t>1093 Enhanced HCE Administration</t>
  </si>
  <si>
    <t>1094 Enhanced HCE Client Services</t>
  </si>
  <si>
    <t>1095 OAA IIIB Chore</t>
  </si>
  <si>
    <t>1096 LSP III B Chore</t>
  </si>
  <si>
    <t>1099 ARP OAA IIID Telephone Reassurance</t>
  </si>
  <si>
    <t>1100 GR CCE I-R</t>
  </si>
  <si>
    <t>1995 AAAPP Fundraising</t>
  </si>
  <si>
    <t>1999 AAAPP Agency Administration</t>
  </si>
  <si>
    <t>2027 ARP OAA III D CDSMP</t>
  </si>
  <si>
    <t>2028 ARP OAA III D CPSMP</t>
  </si>
  <si>
    <t>2029 ARP OAA III D DSMP</t>
  </si>
  <si>
    <t>2087 ARP OAA III D AMOB</t>
  </si>
  <si>
    <t>2501 Grant USAging</t>
  </si>
  <si>
    <t>2502 Grant Duke Energy-Unmet Needs</t>
  </si>
  <si>
    <t>2503 Grant PCF Housing</t>
  </si>
  <si>
    <t>9000 OAA III B PROVIDERS</t>
  </si>
  <si>
    <t>9001 OAA III C1</t>
  </si>
  <si>
    <t>9002 OAA III C2</t>
  </si>
  <si>
    <t>9003 OAA III D</t>
  </si>
  <si>
    <t>9004 OAA III E - Vendor</t>
  </si>
  <si>
    <t>9005 LSP III B</t>
  </si>
  <si>
    <t>9006 LSP Title III C1</t>
  </si>
  <si>
    <t>9007 LSP Title III C2</t>
  </si>
  <si>
    <t>9008 LSP RESPITE</t>
  </si>
  <si>
    <t>9010 GR ADI</t>
  </si>
  <si>
    <t>9015 GR CCE</t>
  </si>
  <si>
    <t>9020 GR HCE</t>
  </si>
  <si>
    <t>9025 OAA NSIP</t>
  </si>
  <si>
    <t>9030 EHEAP (Providers)</t>
  </si>
  <si>
    <t>9040 ARP OAA Title IIIB</t>
  </si>
  <si>
    <t>9041 ARP OAA Title IIIC1</t>
  </si>
  <si>
    <t>9044 ARP OAA Title IIIE</t>
  </si>
  <si>
    <t>Total</t>
  </si>
  <si>
    <t> </t>
  </si>
  <si>
    <t>Amount</t>
  </si>
  <si>
    <t>Ordinary Income/Expense</t>
  </si>
  <si>
    <t>Income</t>
  </si>
  <si>
    <t>40000 - Public Support</t>
  </si>
  <si>
    <t>41000 - Federal Contracts</t>
  </si>
  <si>
    <t>42000 - State Contracts</t>
  </si>
  <si>
    <t>43000 - Local Grants</t>
  </si>
  <si>
    <t>43500 - Veteran Affairs Administrative Revenue</t>
  </si>
  <si>
    <t>43550 - Veteran Affairs Assessment Revenue</t>
  </si>
  <si>
    <t>Total - 40000 - Public Support</t>
  </si>
  <si>
    <t>44000 - Donations Income</t>
  </si>
  <si>
    <t>44100 - Donations-Restricted</t>
  </si>
  <si>
    <t>44110 - Donations-Unrestricted</t>
  </si>
  <si>
    <t>44400 - Sponsorships - Annual Luncheon</t>
  </si>
  <si>
    <t>Total - 44000 - Donations Income</t>
  </si>
  <si>
    <t>44999 - In-Kind</t>
  </si>
  <si>
    <t>45000 - Other Revenue</t>
  </si>
  <si>
    <t>45100 - Miscelleaneous Revenue</t>
  </si>
  <si>
    <t>45200 - Interest</t>
  </si>
  <si>
    <t>45400 - Dividends</t>
  </si>
  <si>
    <t>Total - 45000 - Other Revenue</t>
  </si>
  <si>
    <t>46000 - Realized/Unrealized Gains &amp; Losses</t>
  </si>
  <si>
    <t>46100 - Realized Gains/Losses</t>
  </si>
  <si>
    <t>46200 - Unrealized Gains/ Losses</t>
  </si>
  <si>
    <t>Total - 46000 - Realized/Unrealized Gains &amp; Losses</t>
  </si>
  <si>
    <t>Total - Income</t>
  </si>
  <si>
    <t>Gross Profit</t>
  </si>
  <si>
    <t>Expense</t>
  </si>
  <si>
    <t>50100 - Salary Expenses</t>
  </si>
  <si>
    <t>50110 - Salaries</t>
  </si>
  <si>
    <t>50120 - Overtime</t>
  </si>
  <si>
    <t>50130 - Bonus</t>
  </si>
  <si>
    <t>Total - 50100 - Salary Expenses</t>
  </si>
  <si>
    <t>50200 - Payroll Taxes</t>
  </si>
  <si>
    <t>50210 - FICA</t>
  </si>
  <si>
    <t>50220 - SUI</t>
  </si>
  <si>
    <t>Total - 50200 - Payroll Taxes</t>
  </si>
  <si>
    <t>50300 - Employee Benefits</t>
  </si>
  <si>
    <t>50310 - Health Insurance</t>
  </si>
  <si>
    <t>50320 - Dental Insurance</t>
  </si>
  <si>
    <t>50330 - Vision Insurance</t>
  </si>
  <si>
    <t>50340 - Life Insurance</t>
  </si>
  <si>
    <t>50350 - 401K Retirement</t>
  </si>
  <si>
    <t>50360 - Workers Compensation</t>
  </si>
  <si>
    <t>50375 - Short Term Disability</t>
  </si>
  <si>
    <t>50376 - Other Employee Benefits</t>
  </si>
  <si>
    <t>50380 - Payroll Fees</t>
  </si>
  <si>
    <t>Total - 50300 - Employee Benefits</t>
  </si>
  <si>
    <t>50400 - Consultants &amp; Temporary Staffing</t>
  </si>
  <si>
    <t>50420 - Consultants/Contractors</t>
  </si>
  <si>
    <t>Total - 50400 - Consultants &amp; Temporary Staffing</t>
  </si>
  <si>
    <t>50500 - Rent Expenses</t>
  </si>
  <si>
    <t>50510 - Rent</t>
  </si>
  <si>
    <t>Total - 50500 - Rent Expenses</t>
  </si>
  <si>
    <t>50600 - Telephone &amp; Internet Expenses</t>
  </si>
  <si>
    <t>50610 - Cell Phone</t>
  </si>
  <si>
    <t>50620 - VPN &amp; Phone</t>
  </si>
  <si>
    <t>50630 - Phone Local/Long Distance</t>
  </si>
  <si>
    <t>Total - 50600 - Telephone &amp; Internet Expenses</t>
  </si>
  <si>
    <t>50700 - Utilities</t>
  </si>
  <si>
    <t>50710 - Air Card &amp; Hot Spots</t>
  </si>
  <si>
    <t>50730 - Electricity</t>
  </si>
  <si>
    <t>Total - 50700 - Utilities</t>
  </si>
  <si>
    <t>50800 - Insurance</t>
  </si>
  <si>
    <t>50810 - General Liability Insurance</t>
  </si>
  <si>
    <t>50820 - D&amp;O Insurance</t>
  </si>
  <si>
    <t>50860 - Property Insurance</t>
  </si>
  <si>
    <t>50870 - Flood Insurance</t>
  </si>
  <si>
    <t>50890 - Cyber Liability</t>
  </si>
  <si>
    <t>Total - 50800 - Insurance</t>
  </si>
  <si>
    <t>50900 - Travel</t>
  </si>
  <si>
    <t>50910 - Vehicle-Gas/Oil</t>
  </si>
  <si>
    <t>50920 - Travel - Local/Vicinity</t>
  </si>
  <si>
    <t>50930 - Travel - Out of Town</t>
  </si>
  <si>
    <t>Total - 50900 - Travel</t>
  </si>
  <si>
    <t>51000 - Training and Development</t>
  </si>
  <si>
    <t>51010 - Training/Conference</t>
  </si>
  <si>
    <t>51020 - Professional Training</t>
  </si>
  <si>
    <t>Total - 51000 - Training and Development</t>
  </si>
  <si>
    <t>51100 - Office Supplies</t>
  </si>
  <si>
    <t>51200 - Technology Expenses</t>
  </si>
  <si>
    <t>51210 - Software</t>
  </si>
  <si>
    <t>51220 - Tech Support</t>
  </si>
  <si>
    <t>Total - 51200 - Technology Expenses</t>
  </si>
  <si>
    <t>51300 - Equipment</t>
  </si>
  <si>
    <t>51320 - Small Equipment</t>
  </si>
  <si>
    <t>51400 - Equipment Lease</t>
  </si>
  <si>
    <t>Total - 51300 - Equipment</t>
  </si>
  <si>
    <t>51500 - Dues and Subscriptions</t>
  </si>
  <si>
    <t>51600 - Postage Expenses</t>
  </si>
  <si>
    <t>51610 - Postage</t>
  </si>
  <si>
    <t>Total - 51600 - Postage Expenses</t>
  </si>
  <si>
    <t>51700 - Printing and Copy</t>
  </si>
  <si>
    <t>51710 - Outreach Materials</t>
  </si>
  <si>
    <t>51720 - Printing/Graphics</t>
  </si>
  <si>
    <t>51730 - Copy Charges</t>
  </si>
  <si>
    <t>Total - 51700 - Printing and Copy</t>
  </si>
  <si>
    <t>51800 - Professional Fees</t>
  </si>
  <si>
    <t>51810 - Legal Fees</t>
  </si>
  <si>
    <t>51820 - Audit and Accounting Fees</t>
  </si>
  <si>
    <t>Total - 51800 - Professional Fees</t>
  </si>
  <si>
    <t>51900 - Processing Fees</t>
  </si>
  <si>
    <t>51910 - Payment Processing Fee</t>
  </si>
  <si>
    <t>51920 - Bank Fees</t>
  </si>
  <si>
    <t>51940 - Adminstrative Fee</t>
  </si>
  <si>
    <t>51950 - Investment Management Fees</t>
  </si>
  <si>
    <t>Total - 51900 - Processing Fees</t>
  </si>
  <si>
    <t>52100 - Repairs and Maintenance</t>
  </si>
  <si>
    <t>52110 - Repairs and Maintenance</t>
  </si>
  <si>
    <t>Total - 52100 - Repairs and Maintenance</t>
  </si>
  <si>
    <t>52150 - Storage Fees</t>
  </si>
  <si>
    <t>52199 - Depreciation Expense</t>
  </si>
  <si>
    <t>52300 - Staff Expenses</t>
  </si>
  <si>
    <t>52310 - Staff Recruitment &amp; Retention</t>
  </si>
  <si>
    <t>52320 - Background Screening</t>
  </si>
  <si>
    <t>53290 - Staff Appreciation</t>
  </si>
  <si>
    <t>Total - 52300 - Staff Expenses</t>
  </si>
  <si>
    <t>52400 - Clients &amp; Volunteers</t>
  </si>
  <si>
    <t>52410 - Client Expense</t>
  </si>
  <si>
    <t>52420 - Volunteer Retention/Recognition</t>
  </si>
  <si>
    <t>52430 - Volunteer Travel Expense</t>
  </si>
  <si>
    <t>52440 - Volunteer Training</t>
  </si>
  <si>
    <t>52450 - Donation Expense-Restricted</t>
  </si>
  <si>
    <t>54550 - VA Processing Fees</t>
  </si>
  <si>
    <t>54555 - Mains'l Administrative Fee</t>
  </si>
  <si>
    <t>Total - 52400 - Clients &amp; Volunteers</t>
  </si>
  <si>
    <t>53190 - Advertising</t>
  </si>
  <si>
    <t>53199 - Annual Luncheon</t>
  </si>
  <si>
    <t>53200 - Events</t>
  </si>
  <si>
    <t>53299 - Food</t>
  </si>
  <si>
    <t>54000 - Grants, Contracts, &amp; Direct Assistance</t>
  </si>
  <si>
    <t>54100 - Provider Expenses</t>
  </si>
  <si>
    <t>54200 - Vendor Expenses</t>
  </si>
  <si>
    <t>54500 - Veteran Affairs</t>
  </si>
  <si>
    <t>54560 - Veteran Payroll Expenses</t>
  </si>
  <si>
    <t>Total - 54500 - Veteran Affairs</t>
  </si>
  <si>
    <t>Total - 54000 - Grants, Contracts, &amp; Direct Assistance</t>
  </si>
  <si>
    <t>56000 - Other Expenses</t>
  </si>
  <si>
    <t>56180 - Other Investment Income/Expense</t>
  </si>
  <si>
    <t>Total - 56000 - Other Expenses</t>
  </si>
  <si>
    <t>59999 - In-Kind Expense</t>
  </si>
  <si>
    <t>Total - Expense</t>
  </si>
  <si>
    <t>Net Ordinary Income</t>
  </si>
  <si>
    <t>Net Income</t>
  </si>
  <si>
    <t>51210- Software</t>
  </si>
  <si>
    <t>Oracle Discounts (3 invoices)</t>
  </si>
  <si>
    <t>Oracle Discounts Spread through Programs</t>
  </si>
  <si>
    <t>Final 51210 Software Expense Allocation through 6/30/24</t>
  </si>
  <si>
    <t>Oracle Bills every quarter:3 bills through June covering thru Oct 2024</t>
  </si>
  <si>
    <t>Past Oracle Bill</t>
  </si>
  <si>
    <t>New Oracle Bill</t>
  </si>
  <si>
    <t>6,920.32- Software</t>
  </si>
  <si>
    <t>Software</t>
  </si>
  <si>
    <t>15,435.99- Tech Support</t>
  </si>
  <si>
    <t>Tech Support</t>
  </si>
  <si>
    <t>Final 51210 Software Expense Allocation through 6/30/24 extracting extra invoice</t>
  </si>
  <si>
    <t>Including ARP programs extra allocations</t>
  </si>
  <si>
    <t xml:space="preserve">51220 Tech Support expense Allocation through 6/30/24 </t>
  </si>
  <si>
    <t>Final 512220 Tech Support Expense Allocation through 6/30/24 extracting extra invoice</t>
  </si>
  <si>
    <t>Includes 3 % increase in Tech support ONLY NOT SOFTWARE</t>
  </si>
  <si>
    <t>Area Plan</t>
  </si>
  <si>
    <t>Variance</t>
  </si>
  <si>
    <t>From Jan 2026 to Jun 2026</t>
  </si>
  <si>
    <t>1041 OAA IIIB Technology</t>
  </si>
  <si>
    <t>1042 OAA Pet Support</t>
  </si>
  <si>
    <t>1050 OAA IIID Bingocize</t>
  </si>
  <si>
    <t>2504 Grant HUD</t>
  </si>
  <si>
    <t>50830 - Professional Liability</t>
  </si>
  <si>
    <t>50840 - Volunteer Liability</t>
  </si>
  <si>
    <t>50850 - Crime Insurance</t>
  </si>
  <si>
    <t>51360 - Computer Hardware</t>
  </si>
  <si>
    <t>51740 - SHINE-Toolkit</t>
  </si>
  <si>
    <t>51930 - Interest/Late Fees</t>
  </si>
  <si>
    <t>52120 - Maintenance Contracts</t>
  </si>
  <si>
    <t>52460 - Donation Expense-Unrestricted</t>
  </si>
  <si>
    <t>53100 - Fundraising Expense</t>
  </si>
  <si>
    <t>55000 - Miscellaneous Expenses</t>
  </si>
  <si>
    <t xml:space="preserve">Jan 1st increase </t>
  </si>
  <si>
    <t>3 months of FL Blue</t>
  </si>
  <si>
    <t xml:space="preserve">3 months of United </t>
  </si>
  <si>
    <t xml:space="preserve">Benefit </t>
  </si>
  <si>
    <t>Current Annual Cost</t>
  </si>
  <si>
    <t>New Benefit Vendor</t>
  </si>
  <si>
    <t xml:space="preserve">New Annual Cost </t>
  </si>
  <si>
    <t xml:space="preserve">Variance </t>
  </si>
  <si>
    <t>Health - FL Blue</t>
  </si>
  <si>
    <t xml:space="preserve">UHC Surest </t>
  </si>
  <si>
    <t xml:space="preserve">Dental - Guardian </t>
  </si>
  <si>
    <t>Sunlife</t>
  </si>
  <si>
    <t xml:space="preserve">Vision - Guardian </t>
  </si>
  <si>
    <t xml:space="preserve">STD - Guardian </t>
  </si>
  <si>
    <t>Unum</t>
  </si>
  <si>
    <t>Group Life - Guardian</t>
  </si>
  <si>
    <t>LTD - Guardian</t>
  </si>
  <si>
    <t xml:space="preserve"> $                                        -  </t>
  </si>
  <si>
    <t>Accident- Allstate</t>
  </si>
  <si>
    <t>Critical- Allstate</t>
  </si>
  <si>
    <t>Hospital - Allstate</t>
  </si>
  <si>
    <t>Vol Life - Allstate</t>
  </si>
  <si>
    <t>Feds</t>
  </si>
  <si>
    <t>State</t>
  </si>
  <si>
    <t>LSP</t>
  </si>
  <si>
    <t>VA</t>
  </si>
  <si>
    <t>Budget 2026</t>
  </si>
  <si>
    <t>EHEAP</t>
  </si>
  <si>
    <t>ADI</t>
  </si>
  <si>
    <t>Annual Expenses</t>
  </si>
  <si>
    <t xml:space="preserve">Variance in $ </t>
  </si>
  <si>
    <t>Percentage</t>
  </si>
  <si>
    <t>2024 YTD</t>
  </si>
  <si>
    <t>MIPPA</t>
  </si>
  <si>
    <t>HCE</t>
  </si>
  <si>
    <t>Based on IS thru</t>
  </si>
  <si>
    <t xml:space="preserve">budget to </t>
  </si>
  <si>
    <t xml:space="preserve">of </t>
  </si>
  <si>
    <t>SHINE</t>
  </si>
  <si>
    <t>MW/ADRC</t>
  </si>
  <si>
    <t xml:space="preserve">actual </t>
  </si>
  <si>
    <t xml:space="preserve">variance </t>
  </si>
  <si>
    <t>SMP</t>
  </si>
  <si>
    <t>HUD</t>
  </si>
  <si>
    <t xml:space="preserve">45100 - Miscelleanious Revenue </t>
  </si>
  <si>
    <t xml:space="preserve">Lake </t>
  </si>
  <si>
    <t>Gadsden</t>
  </si>
  <si>
    <t xml:space="preserve">50520 - Lease SL GAAP </t>
  </si>
  <si>
    <t xml:space="preserve">Auto, GL, Com umbrella, ERISA,   Fiduciary </t>
  </si>
  <si>
    <t xml:space="preserve">50880 - Land Insurance and Bonds </t>
  </si>
  <si>
    <t>51830 - Licensing/Permits/Impact Fees</t>
  </si>
  <si>
    <t xml:space="preserve">54100 - Provider Expenses </t>
  </si>
  <si>
    <t>52500 - Project Development Expenses</t>
  </si>
  <si>
    <t xml:space="preserve">52510 - Architechtural services </t>
  </si>
  <si>
    <t xml:space="preserve">52520 - Civil Engineer services </t>
  </si>
  <si>
    <t xml:space="preserve">52530 - Resiliency Consultant services </t>
  </si>
  <si>
    <t xml:space="preserve">52540 - Finance Consultant services </t>
  </si>
  <si>
    <t xml:space="preserve">52550 - General Contractor services </t>
  </si>
  <si>
    <t xml:space="preserve">Total 52500 Project Development Expenses </t>
  </si>
  <si>
    <t>2025 Area Plan Budget</t>
  </si>
  <si>
    <t xml:space="preserve">1050 IIID Bingocize </t>
  </si>
  <si>
    <t>ARP 2024</t>
  </si>
  <si>
    <t>Previous 2025</t>
  </si>
  <si>
    <t>To spread in 2025</t>
  </si>
  <si>
    <t>Budget Totals</t>
  </si>
  <si>
    <t xml:space="preserve">done separately on bottom of June YTD tab </t>
  </si>
  <si>
    <t>60/40</t>
  </si>
  <si>
    <t>Notes:</t>
  </si>
  <si>
    <t>1. 50810 through 50890 annual 2024 budget was $ 59,469.12. 12 month projection is less at $47,100.32.  Also, get new 2025 figures from Greg Harper Agent at Harpers Insurance.  For now, 3% increase from 2024 as of 8-2-24</t>
  </si>
  <si>
    <t>2. Need to increase employees' salaries by 3% BUT leave Employee insurance benefits as it is because we are renegotiating insurance with a new carrier</t>
  </si>
  <si>
    <t>3. Need to adjust Revenues to match contract amounts to the Penny</t>
  </si>
  <si>
    <t>4. 51320 Small Equipment Annual 2025 Budget is $68,705.55 according to Cisco. $72,988.84 Is Projection.  Took difference to 1039</t>
  </si>
  <si>
    <t>5. 51210 Software 1005 negative projection needs to be adjusted. ADD Technology expense by 3%.  Adjust for NO Infotect on-site expense AND REDUCED NetSuite expense- NO more ACS ($89K to 65K)</t>
  </si>
  <si>
    <t>6. Adjust Rent 50420 budget to match escalating rent schedule/ reconciliation on 26050 GL Account (Balance Sheet). CAM for $1500/month x 12 months = $1800 included with Rent Expense.  Could be coded to Repairs &amp; Maintenance</t>
  </si>
  <si>
    <t>7. Reduce Consultants/ Temp Expense (NO Fontana)- GL Acct  51820</t>
  </si>
  <si>
    <t>8. We have to budget the revenue and expenses for a new CVS $1M Grant ($200K per year x 5 years starting on 10/1/24 through 9/30/29).  Expenses $200K per year including $170K salary allocations/personnel and $30K in client services</t>
  </si>
  <si>
    <t>9. HUD Grant starts 10/2024 or.  Amount of Grant is $1.2MM.  Maybe all in 2025</t>
  </si>
  <si>
    <t>10. No expenses or income for 2502 Duke Energy or 2503 PCF Housing Grant as of 8-2-24</t>
  </si>
  <si>
    <t>11. Adjust the 9000+ Classes to make surpluses $0</t>
  </si>
  <si>
    <t>Program Ended</t>
  </si>
  <si>
    <t>2025 RENT off escalation schedule</t>
  </si>
  <si>
    <t>Allocation based on % of revenue</t>
  </si>
  <si>
    <t>NAME</t>
  </si>
  <si>
    <t xml:space="preserve">By First Name </t>
  </si>
  <si>
    <t>JOB TITLE</t>
  </si>
  <si>
    <t>REPORTS TO</t>
  </si>
  <si>
    <t>HIRE DATE</t>
  </si>
  <si>
    <t>HOME COST NUMBER</t>
  </si>
  <si>
    <t>RATE TYPE</t>
  </si>
  <si>
    <t>houly/biweekly</t>
  </si>
  <si>
    <t>Hourly Rate</t>
  </si>
  <si>
    <t>Current Annual Salary 2025</t>
  </si>
  <si>
    <t>Increase 2025</t>
  </si>
  <si>
    <t>Increase 2026</t>
  </si>
  <si>
    <t xml:space="preserve">COLA Increase </t>
  </si>
  <si>
    <t>1/1-9/30/26 Increase $ Amount 3%</t>
  </si>
  <si>
    <t>New 2026 Annual Salary thru 01/26-9/26</t>
  </si>
  <si>
    <t xml:space="preserve">10/1/26-06/30/27 increase $ Amount </t>
  </si>
  <si>
    <t xml:space="preserve">New 2026 Annual Salary </t>
  </si>
  <si>
    <t>10/1/26-12/31/26 Increase Amount</t>
  </si>
  <si>
    <t>TOTAL 2026 Salaries (1/1-12/31/26)</t>
  </si>
  <si>
    <t xml:space="preserve"> 2025 Bonuses </t>
  </si>
  <si>
    <t>Alvarado, Francisco</t>
  </si>
  <si>
    <t>Francisco Alvarado</t>
  </si>
  <si>
    <t>IT Manager</t>
  </si>
  <si>
    <t>Jalazo,Kristina</t>
  </si>
  <si>
    <t>1015 - OAA III B LAN</t>
  </si>
  <si>
    <t>S-Salary</t>
  </si>
  <si>
    <t>Aly, Edita</t>
  </si>
  <si>
    <t>Edita Aly</t>
  </si>
  <si>
    <t>Grant Accountant</t>
  </si>
  <si>
    <t>Ayers,Hubert</t>
  </si>
  <si>
    <t>1005 - OAA Admin</t>
  </si>
  <si>
    <t>Galvan, Cynthia</t>
  </si>
  <si>
    <t>GR Program Manager</t>
  </si>
  <si>
    <t>Didion,Christine Blair</t>
  </si>
  <si>
    <t>1017 - GR CCE Intake</t>
  </si>
  <si>
    <t>Arciniegas, Jessica</t>
  </si>
  <si>
    <t>Jessica Arciniegas</t>
  </si>
  <si>
    <t>HR Generalist</t>
  </si>
  <si>
    <t>Brown,Sandra</t>
  </si>
  <si>
    <t>H-Hourly</t>
  </si>
  <si>
    <t>Arias, Michelle</t>
  </si>
  <si>
    <t>Michelle Arias</t>
  </si>
  <si>
    <t>VA Case Manager</t>
  </si>
  <si>
    <t>Radak,Dijana</t>
  </si>
  <si>
    <t>1065 - VA Bay Pines Hospital</t>
  </si>
  <si>
    <t>Ayers, Hubert</t>
  </si>
  <si>
    <t>Hubert Ayers</t>
  </si>
  <si>
    <t>Finance Manager</t>
  </si>
  <si>
    <t>New redline addition</t>
  </si>
  <si>
    <t>Vacant</t>
  </si>
  <si>
    <t>Controller</t>
  </si>
  <si>
    <t>Barrows, Tracy Lili</t>
  </si>
  <si>
    <t>Tracy  Barrows</t>
  </si>
  <si>
    <t>ADRC Helpline Manager</t>
  </si>
  <si>
    <t>Martino,Tawnya</t>
  </si>
  <si>
    <t>1010 - OAA III B I&amp;R</t>
  </si>
  <si>
    <t>Dijana Radak</t>
  </si>
  <si>
    <t>Mental Health Counselor</t>
  </si>
  <si>
    <t>1011 - OAA III B Mental Health Services</t>
  </si>
  <si>
    <t>Vacant was Cheyenne Armstrong</t>
  </si>
  <si>
    <t>Medicaid Benefits Counselor</t>
  </si>
  <si>
    <t>Carr,Leah Danielle</t>
  </si>
  <si>
    <t>1039 - Med Waiver ADRC</t>
  </si>
  <si>
    <t>Brown, Sandra</t>
  </si>
  <si>
    <t>Sandy Brown</t>
  </si>
  <si>
    <t>Human Resources Manager</t>
  </si>
  <si>
    <t>Winter,Ann Marie</t>
  </si>
  <si>
    <t>Butakov, Jessica</t>
  </si>
  <si>
    <t>Jessica Butakov</t>
  </si>
  <si>
    <t>Callahan-Ross, Lisa</t>
  </si>
  <si>
    <t>Lisa Callahan-Ross</t>
  </si>
  <si>
    <t>Intake Specialist</t>
  </si>
  <si>
    <t>Sanchez,Arlene</t>
  </si>
  <si>
    <t>Carr, Leah Danielle</t>
  </si>
  <si>
    <t>Leah  Carr</t>
  </si>
  <si>
    <t>Medicaid Benefits Counselor Coordinator</t>
  </si>
  <si>
    <t>Darrah, Georgie Barnes</t>
  </si>
  <si>
    <t>Georgie  Darrah</t>
  </si>
  <si>
    <t>Assistant Director of Programs</t>
  </si>
  <si>
    <t>Davis, Kaliegh</t>
  </si>
  <si>
    <t>Kaliegh Davis</t>
  </si>
  <si>
    <t>Service Analyst</t>
  </si>
  <si>
    <t>Anci,Victoria Lauryn</t>
  </si>
  <si>
    <t>Day, Nicole Sheree</t>
  </si>
  <si>
    <t>Nicole  Day</t>
  </si>
  <si>
    <t>Caregiver Specialist</t>
  </si>
  <si>
    <t>Darrah,Georgie Barnes</t>
  </si>
  <si>
    <t>1016 - OAA III E</t>
  </si>
  <si>
    <t>Sleva, Zoey</t>
  </si>
  <si>
    <t>Sleeva, Zoeye</t>
  </si>
  <si>
    <t>Chore Services Specialist</t>
  </si>
  <si>
    <t>Settle Regina</t>
  </si>
  <si>
    <t>Didion, Christine Blair</t>
  </si>
  <si>
    <t>Christine  Didion</t>
  </si>
  <si>
    <t>Director of Programs</t>
  </si>
  <si>
    <t>Marsalek,Kerry</t>
  </si>
  <si>
    <t>Anderson, Andrea</t>
  </si>
  <si>
    <t xml:space="preserve">Anderson, Andrea </t>
  </si>
  <si>
    <t>Information &amp; Assistance Specialist</t>
  </si>
  <si>
    <t>Barrows,Tracy Lili</t>
  </si>
  <si>
    <t>Elliott, Jennifer E</t>
  </si>
  <si>
    <t>JenniferElliott</t>
  </si>
  <si>
    <t>Morales, Hillary</t>
  </si>
  <si>
    <t xml:space="preserve">Morales, Hillary </t>
  </si>
  <si>
    <t>Executive Assistant</t>
  </si>
  <si>
    <t>Fortney, Geralyn</t>
  </si>
  <si>
    <t>Geralyn Fortney</t>
  </si>
  <si>
    <t>Shine Program Manager</t>
  </si>
  <si>
    <t>1025 - SHINE</t>
  </si>
  <si>
    <t>Kershaw, Nayomi</t>
  </si>
  <si>
    <t xml:space="preserve">Program Manager ADI </t>
  </si>
  <si>
    <t>1032 - GR ADI Admin</t>
  </si>
  <si>
    <t>Vacant was Victoria Graci</t>
  </si>
  <si>
    <t>1035 - Med Waiver Specialist</t>
  </si>
  <si>
    <t>Guerra, Luz Josefina</t>
  </si>
  <si>
    <t>Josie Guerra</t>
  </si>
  <si>
    <t>Handa, Parul</t>
  </si>
  <si>
    <t>Parul Handa</t>
  </si>
  <si>
    <t>1080 - ARP OAA Admin</t>
  </si>
  <si>
    <t>Hart, Edward</t>
  </si>
  <si>
    <t>Edward Hart</t>
  </si>
  <si>
    <t>Hazley, Shakeita</t>
  </si>
  <si>
    <t>Shakeita Hazley</t>
  </si>
  <si>
    <t>Program Coordinator</t>
  </si>
  <si>
    <t>Hensler, Jody</t>
  </si>
  <si>
    <t>Jody Hensler</t>
  </si>
  <si>
    <t>Caregiver Specialist Coordinator</t>
  </si>
  <si>
    <t>Salary is capped</t>
  </si>
  <si>
    <t>Herlache, Margaret Anne</t>
  </si>
  <si>
    <t>Peggy Herlache</t>
  </si>
  <si>
    <t>Senior Community Health Coordinator</t>
  </si>
  <si>
    <t>1082 - ARP OAA Technology</t>
  </si>
  <si>
    <t>Hernandez, Daphne</t>
  </si>
  <si>
    <t>Daphne Hernandez</t>
  </si>
  <si>
    <t>Heuerman, Blake</t>
  </si>
  <si>
    <t>Blake Heuerman</t>
  </si>
  <si>
    <t>Jusovich, Elvira</t>
  </si>
  <si>
    <t>Holder-Hurley, Laura Kay</t>
  </si>
  <si>
    <t>Laura Holder-Hurley</t>
  </si>
  <si>
    <t>AP Payroll Specialist</t>
  </si>
  <si>
    <t>Palacio, Adriana</t>
  </si>
  <si>
    <t>Jalazo, Kristina</t>
  </si>
  <si>
    <t>Kristina Jalazo</t>
  </si>
  <si>
    <t xml:space="preserve">Chief Financial Officer </t>
  </si>
  <si>
    <t>Johns, Virginia</t>
  </si>
  <si>
    <t>Virginia Johns</t>
  </si>
  <si>
    <t>Settle, Regina</t>
  </si>
  <si>
    <t xml:space="preserve">Settle, Regina </t>
  </si>
  <si>
    <t>Chore Services Coordinator</t>
  </si>
  <si>
    <t>1095 - OAA IIIB Chore</t>
  </si>
  <si>
    <t>Eaton, Bryce</t>
  </si>
  <si>
    <t xml:space="preserve">Eaton, Bryce </t>
  </si>
  <si>
    <t>1018 - GR ADI Intake</t>
  </si>
  <si>
    <t>Martin, Kendall Ann</t>
  </si>
  <si>
    <t>Young, Stephanie</t>
  </si>
  <si>
    <t xml:space="preserve">Young, Stephanie </t>
  </si>
  <si>
    <t>Health and Wellness Coordinator</t>
  </si>
  <si>
    <t>1087 - OAA III D A Matter of Balance</t>
  </si>
  <si>
    <t>Marisha, Eva</t>
  </si>
  <si>
    <t>Eva Marisha</t>
  </si>
  <si>
    <t>Shine Program Assistant</t>
  </si>
  <si>
    <t>Fortney,Geralyn</t>
  </si>
  <si>
    <t>Marsalek, Kerry</t>
  </si>
  <si>
    <t>Kerry Marsalek</t>
  </si>
  <si>
    <t xml:space="preserve">Director of Healthcare and Innovation </t>
  </si>
  <si>
    <t>Martino, Tawnya</t>
  </si>
  <si>
    <t>Tawnya Martino</t>
  </si>
  <si>
    <t>ADRC Director</t>
  </si>
  <si>
    <t>Maulorico, Debra J</t>
  </si>
  <si>
    <t>Debra J Maulorico</t>
  </si>
  <si>
    <t>Medicaid Waiver QA Specialist</t>
  </si>
  <si>
    <t>Miller, Amanda D</t>
  </si>
  <si>
    <t>Amanda D Miller</t>
  </si>
  <si>
    <t>Nault, Remedios Paclibare</t>
  </si>
  <si>
    <t>Sara Nault</t>
  </si>
  <si>
    <t>SMP Program Assistant</t>
  </si>
  <si>
    <t>1026 - SMP</t>
  </si>
  <si>
    <t>Newman, Judith</t>
  </si>
  <si>
    <t>Judith Newman</t>
  </si>
  <si>
    <t>VA Program Manager</t>
  </si>
  <si>
    <t>Kathryn Bursch</t>
  </si>
  <si>
    <t xml:space="preserve">Outreach Manager </t>
  </si>
  <si>
    <t>1014 - OAA IIIB Outreach</t>
  </si>
  <si>
    <t>O'Neil McKenna</t>
  </si>
  <si>
    <t>O'Neal McKenna</t>
  </si>
  <si>
    <t>Director of Strategic Advancement</t>
  </si>
  <si>
    <t xml:space="preserve">Ann Marie Winter </t>
  </si>
  <si>
    <t>plus masters plus CFRE</t>
  </si>
  <si>
    <t>Oros, Eva</t>
  </si>
  <si>
    <t>Eva Oros</t>
  </si>
  <si>
    <t>she is a PT employee. 520 total hours</t>
  </si>
  <si>
    <t>Owens, Shavonne</t>
  </si>
  <si>
    <t>Shavonne Owens</t>
  </si>
  <si>
    <t>Dangerfield, Shea</t>
  </si>
  <si>
    <t xml:space="preserve">Newman, Shelby </t>
  </si>
  <si>
    <t>Vacant was Cyndi Rennick</t>
  </si>
  <si>
    <t>Rivera-Dominguez, Yesenia</t>
  </si>
  <si>
    <t>Yessie Rivera</t>
  </si>
  <si>
    <t>OAA Program Manager</t>
  </si>
  <si>
    <t>1020 - EHEAP</t>
  </si>
  <si>
    <t>Russo, Devon</t>
  </si>
  <si>
    <t>Devon Russo</t>
  </si>
  <si>
    <t>Data IT Support Specialist</t>
  </si>
  <si>
    <t>Alvarado,Francisco</t>
  </si>
  <si>
    <t>Sanchez, Arlene</t>
  </si>
  <si>
    <t>Arlene Sanchez</t>
  </si>
  <si>
    <t>Intake Specialist Coordinator</t>
  </si>
  <si>
    <t>1012 - OAA III B Intake</t>
  </si>
  <si>
    <t>Sarivong, Douangchai</t>
  </si>
  <si>
    <t>Dawn Sarivong</t>
  </si>
  <si>
    <t>Scaramuzzini, Anthony</t>
  </si>
  <si>
    <t>Anthony Scaramuzzini</t>
  </si>
  <si>
    <t>Valdes, Elizabeth</t>
  </si>
  <si>
    <t>Elizabeth Valdes</t>
  </si>
  <si>
    <t>Vinciguerra, Lucia</t>
  </si>
  <si>
    <t>Lucia Vinciguerra</t>
  </si>
  <si>
    <t>Carson, Donna</t>
  </si>
  <si>
    <t>Receptionist</t>
  </si>
  <si>
    <t>Hillary M</t>
  </si>
  <si>
    <t>Waller, Zakiya</t>
  </si>
  <si>
    <t>Zakiya Waller</t>
  </si>
  <si>
    <t>Senior Accountant</t>
  </si>
  <si>
    <t>White, Kandice</t>
  </si>
  <si>
    <t>Kandice White</t>
  </si>
  <si>
    <t>Lead Service Analyst</t>
  </si>
  <si>
    <t>Iliana Hade</t>
  </si>
  <si>
    <t>Winter, Ann Marie</t>
  </si>
  <si>
    <t>Ann Marie Winter</t>
  </si>
  <si>
    <t>Executive Director</t>
  </si>
  <si>
    <t xml:space="preserve">Vacant </t>
  </si>
  <si>
    <t>Vacant New Addition</t>
  </si>
  <si>
    <t>1012 OAA IIIB Intake</t>
  </si>
  <si>
    <t>Chief Operating Officer</t>
  </si>
  <si>
    <t>1006 - OAA Admin</t>
  </si>
  <si>
    <t>Average Hourly Rate</t>
  </si>
  <si>
    <t>Total Salaries</t>
  </si>
  <si>
    <t xml:space="preserve">Cost for 3% increase </t>
  </si>
  <si>
    <t xml:space="preserve">New Annual Salaries </t>
  </si>
  <si>
    <t xml:space="preserve">Cost for increase </t>
  </si>
  <si>
    <t>Bonuses</t>
  </si>
  <si>
    <t>Position ID</t>
  </si>
  <si>
    <t>Payroll Name</t>
  </si>
  <si>
    <t>Hire/Rehire Date</t>
  </si>
  <si>
    <t>########</t>
  </si>
  <si>
    <t>Years As of 12/31/2026</t>
  </si>
  <si>
    <t xml:space="preserve">Clarity </t>
  </si>
  <si>
    <t xml:space="preserve">ADP fees </t>
  </si>
  <si>
    <t>Rennick, Cynthia Dawn</t>
  </si>
  <si>
    <t xml:space="preserve">1035 401K </t>
  </si>
  <si>
    <t>ST Dis</t>
  </si>
  <si>
    <t>FICA</t>
  </si>
  <si>
    <t xml:space="preserve">Health </t>
  </si>
  <si>
    <t xml:space="preserve">Years of Service </t>
  </si>
  <si>
    <t>Award</t>
  </si>
  <si>
    <t># 2026 Anniversaries</t>
  </si>
  <si>
    <t xml:space="preserve">Cost </t>
  </si>
  <si>
    <t>Carr</t>
  </si>
  <si>
    <t xml:space="preserve">5 years </t>
  </si>
  <si>
    <t>Maulorico</t>
  </si>
  <si>
    <t>10 years</t>
  </si>
  <si>
    <t xml:space="preserve">Graci </t>
  </si>
  <si>
    <t>15 years</t>
  </si>
  <si>
    <t>20 years</t>
  </si>
  <si>
    <t>25 years</t>
  </si>
  <si>
    <t xml:space="preserve"> $                           -  </t>
  </si>
  <si>
    <t>30 years</t>
  </si>
  <si>
    <t>35 years</t>
  </si>
  <si>
    <t xml:space="preserve">Total </t>
  </si>
  <si>
    <t>TOTALS 2026</t>
  </si>
  <si>
    <t>TOTAL BUDGET</t>
  </si>
  <si>
    <t xml:space="preserve">TOTAL BUDGET </t>
  </si>
  <si>
    <t xml:space="preserve">1041 Tech Support </t>
  </si>
  <si>
    <t xml:space="preserve">1042 Pet Support </t>
  </si>
  <si>
    <t>2504 Gramt HUD</t>
  </si>
  <si>
    <t>2508 GUIDE</t>
  </si>
  <si>
    <t xml:space="preserve">TOTAL PASS THROUGH </t>
  </si>
  <si>
    <t>REVISED AREA PLAN</t>
  </si>
  <si>
    <t xml:space="preserve">BUDGET </t>
  </si>
  <si>
    <t xml:space="preserve">Amount </t>
  </si>
  <si>
    <t>EXCLUD 1999 &amp; PASS-THRU</t>
  </si>
  <si>
    <t>50220 - SUI rate should be 0.0042%</t>
  </si>
  <si>
    <t xml:space="preserve"> -   </t>
  </si>
  <si>
    <t xml:space="preserve">50520 - Leas SL GAAP </t>
  </si>
  <si>
    <t xml:space="preserve">50830 - Professional Liability </t>
  </si>
  <si>
    <t xml:space="preserve">50840 - Volunteer Liability </t>
  </si>
  <si>
    <t xml:space="preserve">50850 - Crime Insurance </t>
  </si>
  <si>
    <t>50830 - Land Insrance &amp; Bonds</t>
  </si>
  <si>
    <t xml:space="preserve">51360 - Computer Hardware </t>
  </si>
  <si>
    <t xml:space="preserve">         51740 - SHINE-Toolkit</t>
  </si>
  <si>
    <t xml:space="preserve">51830- Licensing/Permits/Impact Fees </t>
  </si>
  <si>
    <t xml:space="preserve">52120 - Maintenance Contracts </t>
  </si>
  <si>
    <t xml:space="preserve">54600 - Architechtural services </t>
  </si>
  <si>
    <t xml:space="preserve">54610 - Civil Engineer services </t>
  </si>
  <si>
    <t xml:space="preserve">54630 - Resiliency Consultant services </t>
  </si>
  <si>
    <t xml:space="preserve">54640 - Finance Consultant services </t>
  </si>
  <si>
    <t xml:space="preserve">54650 - General Contractor services </t>
  </si>
  <si>
    <t xml:space="preserve">54660 - Property Management services </t>
  </si>
  <si>
    <t xml:space="preserve">      53100 - Fundraising Expense</t>
  </si>
  <si>
    <t>Rounding</t>
  </si>
  <si>
    <t>401K/SUI Difference: (Overstated SUI Huge)</t>
  </si>
  <si>
    <t>Health Ins %</t>
  </si>
  <si>
    <t xml:space="preserve">Retirement </t>
  </si>
  <si>
    <t>Workers' comp</t>
  </si>
  <si>
    <t>ST</t>
  </si>
  <si>
    <t>44999/ 59999 - In-Kind Revenue/Expense</t>
  </si>
  <si>
    <t>Actual June YTD Expense:</t>
  </si>
  <si>
    <t>% Allocation based on salaries</t>
  </si>
  <si>
    <t>% Decrease</t>
  </si>
  <si>
    <t>New Policy Amount</t>
  </si>
  <si>
    <t>Decrease Amount</t>
  </si>
  <si>
    <t xml:space="preserve">50350- 401K </t>
  </si>
  <si>
    <t>Note: Health Insurance figures in line items 275-279 are derived from taking the total salaries on line 37 above for each program and multiplying it by the %'s on the June YTD tab (cells CB46 through CB54)</t>
  </si>
  <si>
    <t>OAA</t>
  </si>
  <si>
    <t>CCE</t>
  </si>
  <si>
    <t>MED WAIV</t>
  </si>
  <si>
    <t>OA3D AMOB</t>
  </si>
  <si>
    <t>OAA3D</t>
  </si>
  <si>
    <t>OAA3B</t>
  </si>
  <si>
    <t xml:space="preserve">LSP </t>
  </si>
  <si>
    <t>Admin</t>
  </si>
  <si>
    <t>I&amp;R</t>
  </si>
  <si>
    <t>MHSI</t>
  </si>
  <si>
    <t>IIIB INSC</t>
  </si>
  <si>
    <t>OTR</t>
  </si>
  <si>
    <t>LAN</t>
  </si>
  <si>
    <t>IIIE</t>
  </si>
  <si>
    <t>INSC</t>
  </si>
  <si>
    <t>TITLE 7</t>
  </si>
  <si>
    <t>ADI ADMIN</t>
  </si>
  <si>
    <t>CCEADMIN</t>
  </si>
  <si>
    <t>HCEADMIN</t>
  </si>
  <si>
    <t>SPEC</t>
  </si>
  <si>
    <t>LSP Admin</t>
  </si>
  <si>
    <t>LSP IIIB I-R</t>
  </si>
  <si>
    <t>LSP IIIB MHSI</t>
  </si>
  <si>
    <t>ADRC</t>
  </si>
  <si>
    <t>TECH</t>
  </si>
  <si>
    <t>PET SUP</t>
  </si>
  <si>
    <t xml:space="preserve">EDU </t>
  </si>
  <si>
    <t>EDUG</t>
  </si>
  <si>
    <t>VA BP</t>
  </si>
  <si>
    <t>VA JH</t>
  </si>
  <si>
    <t xml:space="preserve">IIID Bingocize </t>
  </si>
  <si>
    <t>1060 AAAPP</t>
  </si>
  <si>
    <t xml:space="preserve">1088 AAAPP </t>
  </si>
  <si>
    <t xml:space="preserve">1091 OAA </t>
  </si>
  <si>
    <t>GR CCE I-R</t>
  </si>
  <si>
    <t>FUNDRAISING</t>
  </si>
  <si>
    <t>ADMIN</t>
  </si>
  <si>
    <t>HUD GRANT</t>
  </si>
  <si>
    <t>GUIDE</t>
  </si>
  <si>
    <t>Employee Id</t>
  </si>
  <si>
    <t>First Name</t>
  </si>
  <si>
    <t>Last Name</t>
  </si>
  <si>
    <t>Labor Distribution Profile</t>
  </si>
  <si>
    <t>Title</t>
  </si>
  <si>
    <t>Diabetes Self-Management Program</t>
  </si>
  <si>
    <t>Chronic Disease Self-Management Program</t>
  </si>
  <si>
    <t>Chronic Pain Management Program</t>
  </si>
  <si>
    <t>Savvy</t>
  </si>
  <si>
    <t xml:space="preserve">Diapers for Dignity </t>
  </si>
  <si>
    <t>Client Unmet Needs</t>
  </si>
  <si>
    <t xml:space="preserve">TERA </t>
  </si>
  <si>
    <t>CHORE</t>
  </si>
  <si>
    <t xml:space="preserve">CHORE LSP </t>
  </si>
  <si>
    <t>TOTAL</t>
  </si>
  <si>
    <t>Check Figure</t>
  </si>
  <si>
    <t>Rent</t>
  </si>
  <si>
    <t xml:space="preserve">I&amp;R OAA </t>
  </si>
  <si>
    <t>LSP IIIB  I-R</t>
  </si>
  <si>
    <t>Pet Sup</t>
  </si>
  <si>
    <t>Unmet Needs</t>
  </si>
  <si>
    <t>D4D</t>
  </si>
  <si>
    <t>TERA</t>
  </si>
  <si>
    <t xml:space="preserve">HUD Grant </t>
  </si>
  <si>
    <t>SAVVY</t>
  </si>
  <si>
    <t>New Hires:</t>
  </si>
  <si>
    <t>Start Date:</t>
  </si>
  <si>
    <t>Payroll:</t>
  </si>
  <si>
    <t>Terminations:</t>
  </si>
  <si>
    <t>End Date:</t>
  </si>
  <si>
    <t>LAST Payroll:</t>
  </si>
  <si>
    <t>Suzi Jackson</t>
  </si>
  <si>
    <t>Jason Martino</t>
  </si>
  <si>
    <t>Victoria Anci</t>
  </si>
  <si>
    <t>Wendy Buck-Hessinger</t>
  </si>
  <si>
    <t>Laurin Hernandez</t>
  </si>
  <si>
    <t>Michelle Arbor</t>
  </si>
  <si>
    <t>Paula Moore</t>
  </si>
  <si>
    <t>Kistina Jalazo</t>
  </si>
  <si>
    <t>Sara Jones</t>
  </si>
  <si>
    <t>Michelle Tavares</t>
  </si>
  <si>
    <t>Regina Novak (Director of Outreach)</t>
  </si>
  <si>
    <t>Carol Burns</t>
  </si>
  <si>
    <t>No 2023 Vacation Accrual.  Started 2/12/24</t>
  </si>
  <si>
    <t>Matthew McKenna</t>
  </si>
  <si>
    <t>Virginia Johns- VA Case Mgr (Ginny)</t>
  </si>
  <si>
    <t>Celine Daniel</t>
  </si>
  <si>
    <t>Devon Russo- IT</t>
  </si>
  <si>
    <t>Shaleequa Wilson</t>
  </si>
  <si>
    <t>Madison Lee</t>
  </si>
  <si>
    <t>Kim Gilchrist</t>
  </si>
  <si>
    <t>Tracey Bourne</t>
  </si>
  <si>
    <t>Georgie Darrah</t>
  </si>
  <si>
    <t>Sara Remedios Nault</t>
  </si>
  <si>
    <t xml:space="preserve">Cell and phone </t>
  </si>
  <si>
    <t>Conference</t>
  </si>
  <si>
    <t xml:space="preserve">Nights </t>
  </si>
  <si>
    <t>Registration</t>
  </si>
  <si>
    <t>Air/Mileage</t>
  </si>
  <si>
    <t>Hotel</t>
  </si>
  <si>
    <t>Per diem</t>
  </si>
  <si>
    <t xml:space="preserve">Training only </t>
  </si>
  <si>
    <t xml:space="preserve">Training </t>
  </si>
  <si>
    <t>per diem</t>
  </si>
  <si>
    <t xml:space="preserve">Verizon wireless </t>
  </si>
  <si>
    <t>spread</t>
  </si>
  <si>
    <t>AMW SE4A</t>
  </si>
  <si>
    <t>CSSMP</t>
  </si>
  <si>
    <t>breakfast</t>
  </si>
  <si>
    <t>Frontier</t>
  </si>
  <si>
    <t>AMW USAging</t>
  </si>
  <si>
    <t>Misc</t>
  </si>
  <si>
    <t>lunch</t>
  </si>
  <si>
    <t>Chapter Communications</t>
  </si>
  <si>
    <t>COO USAging</t>
  </si>
  <si>
    <t>All Staff</t>
  </si>
  <si>
    <t xml:space="preserve">dinner </t>
  </si>
  <si>
    <t>Avaya</t>
  </si>
  <si>
    <t xml:space="preserve">CFO USAging </t>
  </si>
  <si>
    <t>Christine USAging</t>
  </si>
  <si>
    <t xml:space="preserve">Tawnya USAging </t>
  </si>
  <si>
    <t>AMW Tallahassee</t>
  </si>
  <si>
    <t>KJ and AMW CFO Summit</t>
  </si>
  <si>
    <t xml:space="preserve">SRFax </t>
  </si>
  <si>
    <t xml:space="preserve">NLC 8 people </t>
  </si>
  <si>
    <t>BONUS</t>
  </si>
  <si>
    <t>65 employees</t>
  </si>
  <si>
    <t>Length of Stay</t>
  </si>
  <si>
    <t xml:space="preserve">McKenna </t>
  </si>
  <si>
    <t>Type</t>
  </si>
  <si>
    <t>Date</t>
  </si>
  <si>
    <t>Document Number</t>
  </si>
  <si>
    <t>Name</t>
  </si>
  <si>
    <t>Clr</t>
  </si>
  <si>
    <t>Split</t>
  </si>
  <si>
    <t>Credit Card</t>
  </si>
  <si>
    <t>Agency for Healthcare Administration</t>
  </si>
  <si>
    <t>F</t>
  </si>
  <si>
    <t>20123 - Credit Cards Payable : ELAN Financial</t>
  </si>
  <si>
    <t>AP Invoice</t>
  </si>
  <si>
    <t>Cathryn M Evans</t>
  </si>
  <si>
    <t>20100 - Accounts Payable : Accounts Payable - Operating</t>
  </si>
  <si>
    <t>Certiphi Screening</t>
  </si>
  <si>
    <t xml:space="preserve">level 2 </t>
  </si>
  <si>
    <t>Doris St Martin</t>
  </si>
  <si>
    <t>FDLE CCHINET EGOV.COM</t>
  </si>
  <si>
    <t xml:space="preserve">VA </t>
  </si>
  <si>
    <t>Frances Gonzalez</t>
  </si>
  <si>
    <t>National Employment Screening</t>
  </si>
  <si>
    <t>Vertical Screening</t>
  </si>
  <si>
    <t>Total - 52320 - Background Screening</t>
  </si>
  <si>
    <t>Providing a quote for the strategic refresh of our end-user computing devices and server infrastructure to maintain operational efficiency, security, and reliability. As part of our standard IT lifecycle management, this refresh addresses aging equipment that is approaching end-of-life (EoL) or end-of-service (EoS), posing increasing risks to productivity and security.</t>
  </si>
  <si>
    <t>Background &amp; Rationale</t>
  </si>
  <si>
    <t>1. Desktop/Laptop Lifecycle (2021 Batch):</t>
  </si>
  <si>
    <t>Desktops and laptops deployed in 2021 (now 4 years old) are exhibiting:</t>
  </si>
  <si>
    <t>Declining performance, leading to productivity losses.</t>
  </si>
  <si>
    <t>Higher failure rates, resulting in increased downtime and support costs.</t>
  </si>
  <si>
    <t>Incompatibility with newer software/security updates.</t>
  </si>
  <si>
    <t>Industry best practices recommend refreshing end-user devices every 3–5 years to ensure efficiency, security, and employee satisfaction.</t>
  </si>
  <si>
    <t>2. Server Infrastructure:</t>
  </si>
  <si>
    <t>Server A (2016): Exceeds standard 5–7-year server lifecycle. Microsoft ended mainstream support for Windows Server 2016 in January 2022, leaving us exposed to:</t>
  </si>
  <si>
    <t>Critical security vulnerabilities.</t>
  </si>
  <si>
    <t>Compliance risks (e.g., lack of security patches).</t>
  </si>
  <si>
    <t>Potential operational failure.</t>
  </si>
  <si>
    <t>Server B (2021): While newer, it was acquired as a refurbished unit and now shows reliability issues. Proactively replacing it minimizes future disruptions.</t>
  </si>
  <si>
    <t>Proposal &amp; Financial Impact</t>
  </si>
  <si>
    <t>We propose replacing 19 desktops and 20 laptops, and decommissioning both servers with modern, warranty-backed alternatives:</t>
  </si>
  <si>
    <t>Equipment</t>
  </si>
  <si>
    <t xml:space="preserve"> Qty </t>
  </si>
  <si>
    <t xml:space="preserve"> Cost Range (Per Unit) </t>
  </si>
  <si>
    <t>Estimated Total</t>
  </si>
  <si>
    <t>Desktops</t>
  </si>
  <si>
    <t xml:space="preserve"> $899.99 – $999.99 </t>
  </si>
  <si>
    <t>$17,100 – $18,999.81</t>
  </si>
  <si>
    <t>Laptops</t>
  </si>
  <si>
    <t xml:space="preserve"> $1,100.00 – $1,500.00 </t>
  </si>
  <si>
    <t>$22,000 – $30,000.00</t>
  </si>
  <si>
    <t>Windows Servers</t>
  </si>
  <si>
    <t xml:space="preserve"> $13,000.00 – $14,000.00 </t>
  </si>
  <si>
    <t>$26,000 – $28,000.00 ( Still finalizing price with InfoTect)</t>
  </si>
  <si>
    <t>Grand Total</t>
  </si>
  <si>
    <t>$65,300 – $76,999.81</t>
  </si>
  <si>
    <t>Key Benefits</t>
  </si>
  <si>
    <t>Enhanced Security: New devices receive full security updates, reducing breach risks.</t>
  </si>
  <si>
    <t>Increased Productivity: Modern hardware minimizes downtime and accelerates workflows.</t>
  </si>
  <si>
    <t>Compliance Assurance: Avoid regulatory penalties via supported server OS.</t>
  </si>
  <si>
    <t>Cost Efficiency: Prevent emergency spending on failing equipment (3-year warranties included).</t>
  </si>
  <si>
    <t>Sustainability: Properly retire e-waste via certified recycling partners.</t>
  </si>
  <si>
    <t xml:space="preserve"> Server  </t>
  </si>
  <si>
    <t>SOFTWARE</t>
  </si>
  <si>
    <t xml:space="preserve">Netsuite Wells Fargo </t>
  </si>
  <si>
    <t xml:space="preserve">DUES AND SUBSCRIPTIONS </t>
  </si>
  <si>
    <t xml:space="preserve">RTM designs Refer software </t>
  </si>
  <si>
    <t>1039/1035/1010/1017/1012</t>
  </si>
  <si>
    <t xml:space="preserve">Infotect </t>
  </si>
  <si>
    <t xml:space="preserve">SE4A Annual Dues </t>
  </si>
  <si>
    <t>OAA Adm</t>
  </si>
  <si>
    <t xml:space="preserve">Microsoft </t>
  </si>
  <si>
    <t xml:space="preserve">Society for Human Resource Managment </t>
  </si>
  <si>
    <t>OAA I&amp;R</t>
  </si>
  <si>
    <t>Prey anti theft</t>
  </si>
  <si>
    <t>SHI Adobe Licenses</t>
  </si>
  <si>
    <t xml:space="preserve">211 LA </t>
  </si>
  <si>
    <t>Non-DOEA</t>
  </si>
  <si>
    <t xml:space="preserve">VA Tracking Senior Connection Center </t>
  </si>
  <si>
    <t>1065/1066</t>
  </si>
  <si>
    <t xml:space="preserve">F4A Consulting </t>
  </si>
  <si>
    <t>Outreach</t>
  </si>
  <si>
    <t>Fastspring</t>
  </si>
  <si>
    <t xml:space="preserve">F4A Membership </t>
  </si>
  <si>
    <t>Plum</t>
  </si>
  <si>
    <t>Time Tap</t>
  </si>
  <si>
    <t xml:space="preserve">Homeless Leadership Alliance membership </t>
  </si>
  <si>
    <t>Misc (Zoom, Akamai, GoodSync)</t>
  </si>
  <si>
    <t>Annual REPORT FILING NIC</t>
  </si>
  <si>
    <t>BLS MEMBERSHIP</t>
  </si>
  <si>
    <t>PAN Membershiop</t>
  </si>
  <si>
    <t>AMEX</t>
  </si>
  <si>
    <t>USAGING MEMBERSHIP</t>
  </si>
  <si>
    <t>Infotect</t>
  </si>
  <si>
    <t xml:space="preserve">AMAZON MEMBERSHIP </t>
  </si>
  <si>
    <t>FL DEP OF AGRICULTURE</t>
  </si>
  <si>
    <t xml:space="preserve">EQUIPMENT LEASE </t>
  </si>
  <si>
    <t xml:space="preserve">TAMBA BAY TIMES </t>
  </si>
  <si>
    <t>Xerox</t>
  </si>
  <si>
    <t xml:space="preserve">Inform USA Memmbership (AIRS) </t>
  </si>
  <si>
    <t>Aramark</t>
  </si>
  <si>
    <t xml:space="preserve">Notary License Sandra Brown HR </t>
  </si>
  <si>
    <t>FP Finance mail machine</t>
  </si>
  <si>
    <t xml:space="preserve">BANK FEES </t>
  </si>
  <si>
    <t xml:space="preserve">Seacoast </t>
  </si>
  <si>
    <t>OUTREACH MATERIALS</t>
  </si>
  <si>
    <t>Sages</t>
  </si>
  <si>
    <t>INVESTMENT MANAGEMENT FEES</t>
  </si>
  <si>
    <t>Color Pages Outreach Present</t>
  </si>
  <si>
    <t>UBS</t>
  </si>
  <si>
    <t xml:space="preserve">Vista Print for luncheon </t>
  </si>
  <si>
    <t xml:space="preserve">PCF </t>
  </si>
  <si>
    <t xml:space="preserve">4IMPRINT </t>
  </si>
  <si>
    <t>Stock Videos</t>
  </si>
  <si>
    <t>Misc Outreach Materials</t>
  </si>
  <si>
    <t xml:space="preserve">Totes Walmart </t>
  </si>
  <si>
    <t>VA PROCESSING FEES</t>
  </si>
  <si>
    <t xml:space="preserve">PRINTING/GRAPHICS </t>
  </si>
  <si>
    <t>Change Healthcare</t>
  </si>
  <si>
    <t>Mains'l Admin fee</t>
  </si>
  <si>
    <t>Vista Print</t>
  </si>
  <si>
    <t xml:space="preserve">West Coast Graphics ann report </t>
  </si>
  <si>
    <t xml:space="preserve">POSTAGE </t>
  </si>
  <si>
    <t>Bull Publishing</t>
  </si>
  <si>
    <t>FP Mailing solutions</t>
  </si>
  <si>
    <t>Color Pages</t>
  </si>
  <si>
    <t>Fedex</t>
  </si>
  <si>
    <t>Roxc annual report</t>
  </si>
  <si>
    <t>Vista Print business cards</t>
  </si>
  <si>
    <t>STORAGE FEES</t>
  </si>
  <si>
    <t>SHINE Brochures</t>
  </si>
  <si>
    <t>Stevents &amp; Stevens</t>
  </si>
  <si>
    <t>Sync.COM</t>
  </si>
  <si>
    <t xml:space="preserve"> 1005/1025/1010/1014 </t>
  </si>
  <si>
    <t>West Coast Graphics  ADRC flyer</t>
  </si>
  <si>
    <t>Color Pages for manuals books</t>
  </si>
  <si>
    <t xml:space="preserve">STAFF RECRUITMENT AND RETENTION </t>
  </si>
  <si>
    <t>AMOB books</t>
  </si>
  <si>
    <t xml:space="preserve">Drug screening </t>
  </si>
  <si>
    <t xml:space="preserve">Vista Print </t>
  </si>
  <si>
    <t xml:space="preserve">Tampa Bay Times Womans Exposition </t>
  </si>
  <si>
    <t>Head Shots</t>
  </si>
  <si>
    <t>PAYROLL FEES</t>
  </si>
  <si>
    <t xml:space="preserve">Year </t>
  </si>
  <si>
    <t>Month</t>
  </si>
  <si>
    <t xml:space="preserve">Event </t>
  </si>
  <si>
    <t xml:space="preserve">Budget </t>
  </si>
  <si>
    <t xml:space="preserve">Monthly Total </t>
  </si>
  <si>
    <t xml:space="preserve">October </t>
  </si>
  <si>
    <t>Birthdays</t>
  </si>
  <si>
    <t>Service Award</t>
  </si>
  <si>
    <t>Halloween</t>
  </si>
  <si>
    <t xml:space="preserve">November </t>
  </si>
  <si>
    <t xml:space="preserve">December </t>
  </si>
  <si>
    <t>Holiday Lunch</t>
  </si>
  <si>
    <t>January</t>
  </si>
  <si>
    <t xml:space="preserve">Wellness Event </t>
  </si>
  <si>
    <t>#######</t>
  </si>
  <si>
    <t>February</t>
  </si>
  <si>
    <t>March</t>
  </si>
  <si>
    <t>April</t>
  </si>
  <si>
    <t>May</t>
  </si>
  <si>
    <t>June</t>
  </si>
  <si>
    <t xml:space="preserve">July </t>
  </si>
  <si>
    <t>Service Awards Lunch</t>
  </si>
  <si>
    <t xml:space="preserve">August </t>
  </si>
  <si>
    <t xml:space="preserve">September </t>
  </si>
  <si>
    <t xml:space="preserve">Holiday Lunch </t>
  </si>
  <si>
    <t>Employee of the Year</t>
  </si>
  <si>
    <t xml:space="preserve">Line Item Total </t>
  </si>
  <si>
    <t>ADVERTISING</t>
  </si>
  <si>
    <t>Department of State Division of Adm Svc</t>
  </si>
  <si>
    <t>Festivals - Collard Green, Kumquat, Pride, budgeting for 6</t>
  </si>
  <si>
    <t>Outreach events for SHINE</t>
  </si>
  <si>
    <t>Logo tshirts</t>
  </si>
  <si>
    <t xml:space="preserve">Food </t>
  </si>
  <si>
    <t xml:space="preserve">Section </t>
  </si>
  <si>
    <t>Payroll Fees</t>
  </si>
  <si>
    <t>Other Costs</t>
  </si>
  <si>
    <t>Legal, Audit, Prof Fees</t>
  </si>
  <si>
    <t>Fringe Benefits</t>
  </si>
  <si>
    <t>Social Secutiry</t>
  </si>
  <si>
    <t>SUI</t>
  </si>
  <si>
    <t>FL UNEMP. COMP.</t>
  </si>
  <si>
    <t>Health Insurance</t>
  </si>
  <si>
    <t>Employee Insurance</t>
  </si>
  <si>
    <t>Dental Insurance</t>
  </si>
  <si>
    <t>Vision Insurance</t>
  </si>
  <si>
    <t>Short Term Disability</t>
  </si>
  <si>
    <t>Other Employee Benefits</t>
  </si>
  <si>
    <t>Vehicle- Gas/Oil</t>
  </si>
  <si>
    <t>Travel</t>
  </si>
  <si>
    <t>Travel (In-Area)</t>
  </si>
  <si>
    <t>Travel- Local/ Vicinity</t>
  </si>
  <si>
    <t>Travel- Out of Town</t>
  </si>
  <si>
    <t>Travel (Out-of-State Conferences).  Split that expense 75% In-state and 25% out-of-state</t>
  </si>
  <si>
    <t>Volunteer Travel Expense</t>
  </si>
  <si>
    <t>Board &amp; Volunteer (1025 SHINE ONLY)</t>
  </si>
  <si>
    <t>Air Card &amp; Hot Spots</t>
  </si>
  <si>
    <t>Communications &amp; Utilities</t>
  </si>
  <si>
    <t>Cell Phones</t>
  </si>
  <si>
    <t>Total Cell phones + air card</t>
  </si>
  <si>
    <t>Postage Expenses</t>
  </si>
  <si>
    <t>Postage</t>
  </si>
  <si>
    <t>General Liability Insurance</t>
  </si>
  <si>
    <t>Building Space</t>
  </si>
  <si>
    <t>Insurance</t>
  </si>
  <si>
    <t>D&amp;O Insurance</t>
  </si>
  <si>
    <t>Property Insurance</t>
  </si>
  <si>
    <t>Flood Insurance</t>
  </si>
  <si>
    <t>Cyber Liability</t>
  </si>
  <si>
    <t>Repairs &amp; Maintenance</t>
  </si>
  <si>
    <t>Rent, Lease &amp; Mortgage</t>
  </si>
  <si>
    <t>Outreach Materials</t>
  </si>
  <si>
    <t>Printing &amp; Supplies</t>
  </si>
  <si>
    <t>PRINTING AND REPRODUCTION</t>
  </si>
  <si>
    <t>Printing/Graphics</t>
  </si>
  <si>
    <t>Copy Charges</t>
  </si>
  <si>
    <t xml:space="preserve">Office supplies </t>
  </si>
  <si>
    <t xml:space="preserve">OFFICE SUPPLIES </t>
  </si>
  <si>
    <t>Computer Hardware/ Software</t>
  </si>
  <si>
    <t>Small Equipment</t>
  </si>
  <si>
    <t>Small Office Furniture / Equipment</t>
  </si>
  <si>
    <t>Consultants/Contractors</t>
  </si>
  <si>
    <t>Temporary Help</t>
  </si>
  <si>
    <t>Equipment Lease</t>
  </si>
  <si>
    <t>Training/ Conference</t>
  </si>
  <si>
    <t>Professional Development and Training</t>
  </si>
  <si>
    <t>Professional Training</t>
  </si>
  <si>
    <t>AGENDA #10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</si>
</sst>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&quot;$&quot;#,##0.000_);[Red]\(&quot;$&quot;#,##0.000\)"/>
    <numFmt numFmtId="166" formatCode="&quot;$&quot;#,##0.00000000_);[Red]\(&quot;$&quot;#,##0.00000000\)"/>
    <numFmt numFmtId="167" formatCode="&quot;$&quot;#,##0.00"/>
    <numFmt numFmtId="168" formatCode="&quot;$&quot;#,##0.0000"/>
    <numFmt numFmtId="169" formatCode="0.0%"/>
  </numFmts>
  <fonts count="72">
    <font>
      <sz val="8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9"/>
      <color rgb="FFFFFFFF"/>
      <name val="Proxima Nova Rg"/>
    </font>
    <font>
      <sz val="11"/>
      <color rgb="FFFF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9"/>
      <color rgb="FF000000"/>
      <name val="Proxima Nova Rg"/>
    </font>
    <font>
      <sz val="11"/>
      <name val="Calibri"/>
      <family val="2"/>
    </font>
    <font>
      <sz val="9"/>
      <color rgb="FFFF0000"/>
      <name val="Proxima Nova Rg"/>
    </font>
    <font>
      <b/>
      <sz val="11"/>
      <color rgb="FFFF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Calibri"/>
      <family val="2"/>
    </font>
    <font>
      <sz val="14"/>
      <name val="Calibri"/>
      <family val="2"/>
    </font>
    <font>
      <sz val="13"/>
      <name val="Calibri"/>
      <family val="2"/>
    </font>
    <font>
      <b/>
      <sz val="13"/>
      <name val="Calibri"/>
      <family val="2"/>
    </font>
    <font>
      <b/>
      <i/>
      <sz val="11"/>
      <name val="Calibri"/>
      <family val="2"/>
    </font>
    <font>
      <b/>
      <sz val="10"/>
      <color rgb="FF000000"/>
      <name val="Arial"/>
      <family val="2"/>
    </font>
    <font>
      <b/>
      <sz val="12"/>
      <color rgb="FF222222"/>
      <name val="Arial"/>
      <family val="2"/>
    </font>
    <font>
      <sz val="9"/>
      <color rgb="FFFF0000"/>
      <name val="Arial"/>
      <family val="2"/>
    </font>
    <font>
      <sz val="8"/>
      <color rgb="FF000000"/>
      <name val="Arial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9"/>
      <name val="Proxima Nova Rg"/>
    </font>
    <font>
      <sz val="9"/>
      <color rgb="FF0070C0"/>
      <name val="Proxima Nova Rg"/>
    </font>
    <font>
      <sz val="11"/>
      <color rgb="FF0070C0"/>
      <name val="Calibri"/>
      <family val="2"/>
    </font>
    <font>
      <b/>
      <sz val="8"/>
      <color rgb="FF000000"/>
      <name val="Arial"/>
      <family val="2"/>
    </font>
    <font>
      <b/>
      <sz val="12"/>
      <color rgb="FF000000"/>
      <name val="Aptos Narrow"/>
      <family val="2"/>
    </font>
    <font>
      <b/>
      <i/>
      <sz val="11"/>
      <color rgb="FF000000"/>
      <name val="Aptos Narrow"/>
      <family val="2"/>
    </font>
    <font>
      <b/>
      <sz val="11"/>
      <color rgb="FFFFFFFF"/>
      <name val="Aptos Narrow"/>
      <family val="2"/>
    </font>
    <font>
      <sz val="8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i/>
      <sz val="14"/>
      <name val="Calibri"/>
      <family val="2"/>
    </font>
    <font>
      <sz val="14"/>
      <name val="Arial"/>
      <family val="2"/>
    </font>
    <font>
      <b/>
      <sz val="11"/>
      <color rgb="FF4D93D9"/>
      <name val="Aptos Narrow"/>
      <family val="2"/>
    </font>
    <font>
      <sz val="12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EBEDE"/>
        <bgColor rgb="FF000000"/>
      </patternFill>
    </fill>
    <fill>
      <patternFill patternType="solid">
        <fgColor rgb="FFC0E6F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rgb="FF89E3F9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E97132"/>
        <bgColor rgb="FFE97132"/>
      </patternFill>
    </fill>
    <fill>
      <patternFill patternType="solid">
        <fgColor rgb="FF156082"/>
        <bgColor rgb="FF156082"/>
      </patternFill>
    </fill>
    <fill>
      <patternFill patternType="solid">
        <fgColor rgb="FFC0E6F5"/>
        <bgColor rgb="FFC0E6F5"/>
      </patternFill>
    </fill>
    <fill>
      <patternFill patternType="solid">
        <fgColor rgb="FF000000"/>
        <bgColor rgb="FF000000"/>
      </patternFill>
    </fill>
    <fill>
      <patternFill patternType="solid">
        <fgColor rgb="FF156082"/>
        <bgColor rgb="FF000000"/>
      </patternFill>
    </fill>
    <fill>
      <patternFill patternType="solid">
        <fgColor rgb="FF196B24"/>
        <bgColor rgb="FF000000"/>
      </patternFill>
    </fill>
    <fill>
      <patternFill patternType="solid">
        <fgColor rgb="FFE97132"/>
        <bgColor rgb="FF000000"/>
      </patternFill>
    </fill>
    <fill>
      <patternFill patternType="solid">
        <fgColor rgb="FF70A8E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CEEF"/>
        <bgColor rgb="FF000000"/>
      </patternFill>
    </fill>
    <fill>
      <patternFill patternType="solid">
        <fgColor rgb="FF4EA72E"/>
        <bgColor rgb="FF000000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tted">
        <color rgb="FFC0C0C0"/>
      </top>
      <bottom/>
      <diagonal/>
    </border>
    <border>
      <left/>
      <right/>
      <top style="dotted">
        <color rgb="FF96969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E97132"/>
      </left>
      <right style="thin">
        <color rgb="FFE97132"/>
      </right>
      <top style="thin">
        <color rgb="FFE97132"/>
      </top>
      <bottom/>
      <diagonal/>
    </border>
    <border>
      <left style="thin">
        <color rgb="FFE97132"/>
      </left>
      <right style="thin">
        <color rgb="FFE97132"/>
      </right>
      <top style="thin">
        <color rgb="FFE97132"/>
      </top>
      <bottom style="thin">
        <color rgb="FFE97132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  <border>
      <left style="thin">
        <color rgb="FF44B3E1"/>
      </left>
      <right style="thin">
        <color rgb="FF44B3E1"/>
      </right>
      <top style="thin">
        <color rgb="FF44B3E1"/>
      </top>
      <bottom style="thin">
        <color rgb="FF44B3E1"/>
      </bottom>
      <diagonal/>
    </border>
    <border>
      <left/>
      <right style="thin">
        <color indexed="64"/>
      </right>
      <top/>
      <bottom/>
      <diagonal/>
    </border>
    <border>
      <left style="thin">
        <color rgb="FF44B3E1"/>
      </left>
      <right/>
      <top/>
      <bottom style="thin">
        <color rgb="FF44B3E1"/>
      </bottom>
      <diagonal/>
    </border>
    <border>
      <left/>
      <right/>
      <top/>
      <bottom style="thin">
        <color rgb="FF44B3E1"/>
      </bottom>
      <diagonal/>
    </border>
    <border>
      <left/>
      <right style="thin">
        <color rgb="FF44B3E1"/>
      </right>
      <top/>
      <bottom style="thin">
        <color rgb="FF44B3E1"/>
      </bottom>
      <diagonal/>
    </border>
    <border>
      <left style="thin">
        <color rgb="FF44B3E1"/>
      </left>
      <right style="thin">
        <color rgb="FF44B3E1"/>
      </right>
      <top/>
      <bottom style="thin">
        <color rgb="FF44B3E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3" fillId="0" borderId="0" applyFont="0" applyFill="0" applyBorder="0" applyAlignment="0" applyProtection="0"/>
    <xf numFmtId="9" fontId="65" fillId="0" borderId="0" applyFont="0" applyFill="0" applyBorder="0" applyAlignment="0" applyProtection="0"/>
  </cellStyleXfs>
  <cellXfs count="397">
    <xf numFmtId="0" fontId="0" fillId="0" borderId="0" xfId="0"/>
    <xf numFmtId="0" fontId="20" fillId="33" borderId="0" xfId="0" applyFont="1" applyFill="1" applyAlignment="1">
      <alignment horizontal="left"/>
    </xf>
    <xf numFmtId="0" fontId="20" fillId="33" borderId="0" xfId="0" applyFont="1" applyFill="1" applyAlignment="1">
      <alignment horizontal="right"/>
    </xf>
    <xf numFmtId="0" fontId="21" fillId="0" borderId="0" xfId="0" applyFont="1" applyAlignment="1">
      <alignment horizontal="left" vertical="center"/>
    </xf>
    <xf numFmtId="7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 indent="1"/>
    </xf>
    <xf numFmtId="0" fontId="21" fillId="0" borderId="0" xfId="0" applyFont="1" applyAlignment="1">
      <alignment horizontal="left" indent="2"/>
    </xf>
    <xf numFmtId="0" fontId="22" fillId="0" borderId="0" xfId="0" applyFont="1" applyAlignment="1">
      <alignment horizontal="left" indent="3"/>
    </xf>
    <xf numFmtId="7" fontId="22" fillId="0" borderId="0" xfId="0" applyNumberFormat="1" applyFont="1" applyAlignment="1">
      <alignment horizontal="right" vertical="center"/>
    </xf>
    <xf numFmtId="0" fontId="21" fillId="0" borderId="10" xfId="0" applyFont="1" applyBorder="1" applyAlignment="1">
      <alignment horizontal="left" indent="2"/>
    </xf>
    <xf numFmtId="7" fontId="21" fillId="0" borderId="10" xfId="0" applyNumberFormat="1" applyFont="1" applyBorder="1" applyAlignment="1">
      <alignment horizontal="right" vertical="center"/>
    </xf>
    <xf numFmtId="0" fontId="22" fillId="0" borderId="0" xfId="0" applyFont="1" applyAlignment="1">
      <alignment horizontal="left" indent="2"/>
    </xf>
    <xf numFmtId="0" fontId="21" fillId="0" borderId="10" xfId="0" applyFont="1" applyBorder="1" applyAlignment="1">
      <alignment horizontal="left" indent="1"/>
    </xf>
    <xf numFmtId="0" fontId="21" fillId="0" borderId="11" xfId="0" applyFont="1" applyBorder="1" applyAlignment="1">
      <alignment horizontal="left" indent="1"/>
    </xf>
    <xf numFmtId="7" fontId="21" fillId="0" borderId="11" xfId="0" applyNumberFormat="1" applyFont="1" applyBorder="1" applyAlignment="1">
      <alignment horizontal="right" vertical="center"/>
    </xf>
    <xf numFmtId="0" fontId="21" fillId="0" borderId="0" xfId="0" applyFont="1" applyAlignment="1">
      <alignment horizontal="left" indent="3"/>
    </xf>
    <xf numFmtId="0" fontId="22" fillId="0" borderId="0" xfId="0" applyFont="1" applyAlignment="1">
      <alignment horizontal="left" indent="4"/>
    </xf>
    <xf numFmtId="0" fontId="21" fillId="0" borderId="10" xfId="0" applyFont="1" applyBorder="1" applyAlignment="1">
      <alignment horizontal="left" indent="3"/>
    </xf>
    <xf numFmtId="0" fontId="21" fillId="0" borderId="11" xfId="0" applyFont="1" applyBorder="1" applyAlignment="1">
      <alignment horizontal="left" vertical="center"/>
    </xf>
    <xf numFmtId="44" fontId="21" fillId="0" borderId="0" xfId="42" applyFont="1" applyAlignment="1">
      <alignment horizontal="right" vertical="center"/>
    </xf>
    <xf numFmtId="0" fontId="24" fillId="0" borderId="0" xfId="0" applyFont="1"/>
    <xf numFmtId="7" fontId="25" fillId="0" borderId="0" xfId="0" applyNumberFormat="1" applyFont="1"/>
    <xf numFmtId="0" fontId="22" fillId="35" borderId="0" xfId="0" applyFont="1" applyFill="1" applyAlignment="1">
      <alignment horizontal="left" indent="2"/>
    </xf>
    <xf numFmtId="0" fontId="23" fillId="0" borderId="0" xfId="0" applyFont="1"/>
    <xf numFmtId="0" fontId="27" fillId="36" borderId="0" xfId="0" applyFont="1" applyFill="1" applyAlignment="1">
      <alignment wrapText="1"/>
    </xf>
    <xf numFmtId="0" fontId="28" fillId="37" borderId="0" xfId="0" applyFont="1" applyFill="1" applyAlignment="1">
      <alignment wrapText="1"/>
    </xf>
    <xf numFmtId="0" fontId="29" fillId="38" borderId="12" xfId="0" applyFont="1" applyFill="1" applyBorder="1"/>
    <xf numFmtId="0" fontId="30" fillId="0" borderId="0" xfId="0" applyFont="1" applyAlignment="1">
      <alignment wrapText="1"/>
    </xf>
    <xf numFmtId="0" fontId="30" fillId="0" borderId="0" xfId="0" applyFont="1"/>
    <xf numFmtId="0" fontId="31" fillId="0" borderId="13" xfId="0" applyFont="1" applyBorder="1" applyAlignment="1">
      <alignment wrapText="1"/>
    </xf>
    <xf numFmtId="14" fontId="31" fillId="0" borderId="13" xfId="0" applyNumberFormat="1" applyFont="1" applyBorder="1" applyAlignment="1">
      <alignment wrapText="1"/>
    </xf>
    <xf numFmtId="4" fontId="30" fillId="0" borderId="13" xfId="0" applyNumberFormat="1" applyFont="1" applyBorder="1"/>
    <xf numFmtId="8" fontId="30" fillId="0" borderId="13" xfId="0" applyNumberFormat="1" applyFont="1" applyBorder="1"/>
    <xf numFmtId="8" fontId="30" fillId="40" borderId="13" xfId="0" applyNumberFormat="1" applyFont="1" applyFill="1" applyBorder="1"/>
    <xf numFmtId="9" fontId="30" fillId="0" borderId="14" xfId="0" applyNumberFormat="1" applyFont="1" applyBorder="1"/>
    <xf numFmtId="8" fontId="30" fillId="0" borderId="0" xfId="0" applyNumberFormat="1" applyFont="1"/>
    <xf numFmtId="0" fontId="31" fillId="0" borderId="14" xfId="0" applyFont="1" applyBorder="1" applyAlignment="1">
      <alignment wrapText="1"/>
    </xf>
    <xf numFmtId="14" fontId="31" fillId="0" borderId="14" xfId="0" applyNumberFormat="1" applyFont="1" applyBorder="1" applyAlignment="1">
      <alignment wrapText="1"/>
    </xf>
    <xf numFmtId="8" fontId="30" fillId="0" borderId="14" xfId="0" applyNumberFormat="1" applyFont="1" applyBorder="1"/>
    <xf numFmtId="8" fontId="30" fillId="40" borderId="14" xfId="0" applyNumberFormat="1" applyFont="1" applyFill="1" applyBorder="1"/>
    <xf numFmtId="9" fontId="32" fillId="0" borderId="14" xfId="0" applyNumberFormat="1" applyFont="1" applyBorder="1"/>
    <xf numFmtId="0" fontId="28" fillId="0" borderId="0" xfId="0" applyFont="1"/>
    <xf numFmtId="0" fontId="33" fillId="0" borderId="14" xfId="0" applyFont="1" applyBorder="1" applyAlignment="1">
      <alignment wrapText="1"/>
    </xf>
    <xf numFmtId="14" fontId="33" fillId="0" borderId="14" xfId="0" applyNumberFormat="1" applyFont="1" applyBorder="1" applyAlignment="1">
      <alignment wrapText="1"/>
    </xf>
    <xf numFmtId="8" fontId="28" fillId="0" borderId="14" xfId="0" applyNumberFormat="1" applyFont="1" applyBorder="1"/>
    <xf numFmtId="8" fontId="28" fillId="40" borderId="14" xfId="0" applyNumberFormat="1" applyFont="1" applyFill="1" applyBorder="1"/>
    <xf numFmtId="9" fontId="28" fillId="0" borderId="14" xfId="0" applyNumberFormat="1" applyFont="1" applyBorder="1"/>
    <xf numFmtId="0" fontId="31" fillId="41" borderId="15" xfId="0" applyFont="1" applyFill="1" applyBorder="1" applyAlignment="1">
      <alignment wrapText="1"/>
    </xf>
    <xf numFmtId="0" fontId="31" fillId="41" borderId="14" xfId="0" applyFont="1" applyFill="1" applyBorder="1" applyAlignment="1">
      <alignment wrapText="1"/>
    </xf>
    <xf numFmtId="0" fontId="29" fillId="38" borderId="14" xfId="0" applyFont="1" applyFill="1" applyBorder="1"/>
    <xf numFmtId="8" fontId="34" fillId="40" borderId="14" xfId="0" applyNumberFormat="1" applyFont="1" applyFill="1" applyBorder="1"/>
    <xf numFmtId="0" fontId="30" fillId="38" borderId="14" xfId="0" applyFont="1" applyFill="1" applyBorder="1"/>
    <xf numFmtId="8" fontId="34" fillId="40" borderId="13" xfId="0" applyNumberFormat="1" applyFont="1" applyFill="1" applyBorder="1"/>
    <xf numFmtId="0" fontId="35" fillId="0" borderId="0" xfId="0" applyFont="1"/>
    <xf numFmtId="0" fontId="36" fillId="0" borderId="0" xfId="0" applyFont="1"/>
    <xf numFmtId="0" fontId="36" fillId="0" borderId="0" xfId="0" applyFont="1" applyAlignment="1">
      <alignment wrapText="1"/>
    </xf>
    <xf numFmtId="0" fontId="35" fillId="0" borderId="18" xfId="0" applyFont="1" applyBorder="1"/>
    <xf numFmtId="0" fontId="37" fillId="0" borderId="17" xfId="0" applyFont="1" applyBorder="1"/>
    <xf numFmtId="0" fontId="37" fillId="0" borderId="16" xfId="0" applyFont="1" applyBorder="1"/>
    <xf numFmtId="0" fontId="35" fillId="0" borderId="13" xfId="0" applyFont="1" applyBorder="1"/>
    <xf numFmtId="0" fontId="35" fillId="0" borderId="19" xfId="0" applyFont="1" applyBorder="1"/>
    <xf numFmtId="0" fontId="35" fillId="0" borderId="20" xfId="0" applyFont="1" applyBorder="1"/>
    <xf numFmtId="0" fontId="35" fillId="0" borderId="15" xfId="0" applyFont="1" applyBorder="1"/>
    <xf numFmtId="0" fontId="35" fillId="0" borderId="14" xfId="0" applyFont="1" applyBorder="1"/>
    <xf numFmtId="0" fontId="38" fillId="42" borderId="0" xfId="0" applyFont="1" applyFill="1"/>
    <xf numFmtId="0" fontId="35" fillId="0" borderId="22" xfId="0" applyFont="1" applyBorder="1"/>
    <xf numFmtId="0" fontId="39" fillId="0" borderId="0" xfId="0" applyFont="1"/>
    <xf numFmtId="10" fontId="36" fillId="0" borderId="0" xfId="0" applyNumberFormat="1" applyFont="1"/>
    <xf numFmtId="0" fontId="38" fillId="0" borderId="0" xfId="0" applyFont="1"/>
    <xf numFmtId="0" fontId="36" fillId="43" borderId="0" xfId="0" applyFont="1" applyFill="1"/>
    <xf numFmtId="10" fontId="35" fillId="0" borderId="0" xfId="0" applyNumberFormat="1" applyFont="1"/>
    <xf numFmtId="0" fontId="37" fillId="0" borderId="0" xfId="0" applyFont="1"/>
    <xf numFmtId="14" fontId="36" fillId="0" borderId="0" xfId="0" applyNumberFormat="1" applyFont="1"/>
    <xf numFmtId="0" fontId="40" fillId="0" borderId="0" xfId="0" applyFont="1"/>
    <xf numFmtId="8" fontId="39" fillId="0" borderId="0" xfId="0" applyNumberFormat="1" applyFont="1"/>
    <xf numFmtId="8" fontId="18" fillId="0" borderId="0" xfId="0" applyNumberFormat="1" applyFont="1"/>
    <xf numFmtId="9" fontId="36" fillId="0" borderId="0" xfId="0" applyNumberFormat="1" applyFont="1"/>
    <xf numFmtId="10" fontId="0" fillId="0" borderId="0" xfId="0" applyNumberFormat="1"/>
    <xf numFmtId="0" fontId="22" fillId="35" borderId="0" xfId="0" applyFont="1" applyFill="1" applyAlignment="1">
      <alignment horizontal="left" indent="3"/>
    </xf>
    <xf numFmtId="10" fontId="21" fillId="0" borderId="0" xfId="0" applyNumberFormat="1" applyFont="1" applyAlignment="1">
      <alignment horizontal="right" vertical="center"/>
    </xf>
    <xf numFmtId="7" fontId="22" fillId="44" borderId="0" xfId="0" applyNumberFormat="1" applyFont="1" applyFill="1" applyAlignment="1">
      <alignment horizontal="right" vertical="center"/>
    </xf>
    <xf numFmtId="0" fontId="21" fillId="35" borderId="0" xfId="0" applyFont="1" applyFill="1" applyAlignment="1">
      <alignment horizontal="left" indent="2"/>
    </xf>
    <xf numFmtId="44" fontId="21" fillId="0" borderId="0" xfId="42" applyFont="1" applyFill="1" applyAlignment="1">
      <alignment horizontal="right" vertical="center"/>
    </xf>
    <xf numFmtId="2" fontId="0" fillId="0" borderId="0" xfId="0" applyNumberFormat="1"/>
    <xf numFmtId="0" fontId="0" fillId="34" borderId="0" xfId="0" applyFill="1"/>
    <xf numFmtId="7" fontId="0" fillId="0" borderId="0" xfId="0" applyNumberFormat="1"/>
    <xf numFmtId="0" fontId="20" fillId="34" borderId="0" xfId="0" applyFont="1" applyFill="1" applyAlignment="1">
      <alignment horizontal="right"/>
    </xf>
    <xf numFmtId="7" fontId="21" fillId="34" borderId="0" xfId="0" applyNumberFormat="1" applyFont="1" applyFill="1" applyAlignment="1">
      <alignment horizontal="right" vertical="center"/>
    </xf>
    <xf numFmtId="7" fontId="22" fillId="34" borderId="0" xfId="0" applyNumberFormat="1" applyFont="1" applyFill="1" applyAlignment="1">
      <alignment horizontal="right" vertical="center"/>
    </xf>
    <xf numFmtId="7" fontId="21" fillId="34" borderId="10" xfId="0" applyNumberFormat="1" applyFont="1" applyFill="1" applyBorder="1" applyAlignment="1">
      <alignment horizontal="right" vertical="center"/>
    </xf>
    <xf numFmtId="44" fontId="21" fillId="34" borderId="0" xfId="42" applyFont="1" applyFill="1" applyAlignment="1">
      <alignment horizontal="right" vertical="center"/>
    </xf>
    <xf numFmtId="7" fontId="21" fillId="34" borderId="11" xfId="0" applyNumberFormat="1" applyFont="1" applyFill="1" applyBorder="1" applyAlignment="1">
      <alignment horizontal="right" vertical="center"/>
    </xf>
    <xf numFmtId="0" fontId="20" fillId="34" borderId="0" xfId="0" applyFont="1" applyFill="1" applyAlignment="1">
      <alignment horizontal="left"/>
    </xf>
    <xf numFmtId="7" fontId="22" fillId="45" borderId="0" xfId="0" applyNumberFormat="1" applyFont="1" applyFill="1" applyAlignment="1">
      <alignment horizontal="right" vertical="center"/>
    </xf>
    <xf numFmtId="43" fontId="0" fillId="0" borderId="0" xfId="0" applyNumberFormat="1"/>
    <xf numFmtId="0" fontId="26" fillId="34" borderId="0" xfId="0" applyFont="1" applyFill="1"/>
    <xf numFmtId="0" fontId="24" fillId="45" borderId="0" xfId="0" applyFont="1" applyFill="1"/>
    <xf numFmtId="164" fontId="0" fillId="0" borderId="0" xfId="0" applyNumberFormat="1"/>
    <xf numFmtId="9" fontId="0" fillId="0" borderId="0" xfId="0" applyNumberFormat="1"/>
    <xf numFmtId="2" fontId="0" fillId="34" borderId="0" xfId="0" applyNumberFormat="1" applyFill="1"/>
    <xf numFmtId="0" fontId="22" fillId="35" borderId="0" xfId="0" applyFont="1" applyFill="1" applyAlignment="1">
      <alignment horizontal="left" indent="4"/>
    </xf>
    <xf numFmtId="7" fontId="21" fillId="45" borderId="11" xfId="0" applyNumberFormat="1" applyFont="1" applyFill="1" applyBorder="1" applyAlignment="1">
      <alignment horizontal="right" vertical="center"/>
    </xf>
    <xf numFmtId="0" fontId="48" fillId="0" borderId="0" xfId="0" applyFont="1"/>
    <xf numFmtId="0" fontId="48" fillId="0" borderId="20" xfId="0" applyFont="1" applyBorder="1"/>
    <xf numFmtId="7" fontId="21" fillId="47" borderId="11" xfId="0" applyNumberFormat="1" applyFont="1" applyFill="1" applyBorder="1" applyAlignment="1">
      <alignment horizontal="right" vertical="center"/>
    </xf>
    <xf numFmtId="7" fontId="22" fillId="48" borderId="0" xfId="0" applyNumberFormat="1" applyFont="1" applyFill="1" applyAlignment="1">
      <alignment horizontal="right" vertical="center"/>
    </xf>
    <xf numFmtId="0" fontId="49" fillId="0" borderId="0" xfId="0" applyFont="1"/>
    <xf numFmtId="0" fontId="20" fillId="33" borderId="0" xfId="0" applyFont="1" applyFill="1" applyAlignment="1">
      <alignment horizontal="right" wrapText="1"/>
    </xf>
    <xf numFmtId="0" fontId="35" fillId="0" borderId="0" xfId="0" applyFont="1" applyAlignment="1">
      <alignment horizontal="right"/>
    </xf>
    <xf numFmtId="0" fontId="26" fillId="0" borderId="0" xfId="0" applyFont="1"/>
    <xf numFmtId="10" fontId="26" fillId="0" borderId="0" xfId="0" applyNumberFormat="1" applyFont="1"/>
    <xf numFmtId="2" fontId="26" fillId="0" borderId="0" xfId="0" applyNumberFormat="1" applyFont="1"/>
    <xf numFmtId="43" fontId="26" fillId="34" borderId="0" xfId="0" applyNumberFormat="1" applyFont="1" applyFill="1"/>
    <xf numFmtId="164" fontId="26" fillId="34" borderId="0" xfId="0" applyNumberFormat="1" applyFont="1" applyFill="1"/>
    <xf numFmtId="7" fontId="26" fillId="0" borderId="0" xfId="0" applyNumberFormat="1" applyFont="1"/>
    <xf numFmtId="2" fontId="26" fillId="34" borderId="0" xfId="0" applyNumberFormat="1" applyFont="1" applyFill="1"/>
    <xf numFmtId="7" fontId="26" fillId="35" borderId="0" xfId="0" applyNumberFormat="1" applyFont="1" applyFill="1"/>
    <xf numFmtId="0" fontId="26" fillId="35" borderId="0" xfId="0" applyFont="1" applyFill="1"/>
    <xf numFmtId="0" fontId="26" fillId="46" borderId="0" xfId="0" applyFont="1" applyFill="1"/>
    <xf numFmtId="0" fontId="25" fillId="0" borderId="0" xfId="0" applyFont="1"/>
    <xf numFmtId="0" fontId="24" fillId="0" borderId="0" xfId="0" applyFont="1" applyAlignment="1">
      <alignment horizontal="center"/>
    </xf>
    <xf numFmtId="0" fontId="30" fillId="0" borderId="22" xfId="0" applyFont="1" applyBorder="1" applyAlignment="1">
      <alignment wrapText="1"/>
    </xf>
    <xf numFmtId="0" fontId="18" fillId="0" borderId="0" xfId="0" applyFont="1"/>
    <xf numFmtId="8" fontId="0" fillId="0" borderId="0" xfId="0" applyNumberFormat="1"/>
    <xf numFmtId="0" fontId="30" fillId="34" borderId="0" xfId="0" applyFont="1" applyFill="1" applyAlignment="1">
      <alignment wrapText="1"/>
    </xf>
    <xf numFmtId="8" fontId="30" fillId="34" borderId="0" xfId="0" applyNumberFormat="1" applyFont="1" applyFill="1"/>
    <xf numFmtId="8" fontId="34" fillId="34" borderId="13" xfId="0" applyNumberFormat="1" applyFont="1" applyFill="1" applyBorder="1"/>
    <xf numFmtId="8" fontId="30" fillId="49" borderId="0" xfId="0" applyNumberFormat="1" applyFont="1" applyFill="1"/>
    <xf numFmtId="0" fontId="28" fillId="0" borderId="0" xfId="0" applyFont="1" applyAlignment="1">
      <alignment horizontal="left"/>
    </xf>
    <xf numFmtId="166" fontId="0" fillId="0" borderId="0" xfId="0" applyNumberFormat="1"/>
    <xf numFmtId="0" fontId="0" fillId="0" borderId="0" xfId="0" applyAlignment="1">
      <alignment horizontal="center"/>
    </xf>
    <xf numFmtId="0" fontId="52" fillId="0" borderId="0" xfId="0" applyFont="1"/>
    <xf numFmtId="8" fontId="52" fillId="0" borderId="0" xfId="0" applyNumberFormat="1" applyFont="1"/>
    <xf numFmtId="8" fontId="53" fillId="0" borderId="0" xfId="0" applyNumberFormat="1" applyFont="1"/>
    <xf numFmtId="0" fontId="31" fillId="39" borderId="0" xfId="0" applyFont="1" applyFill="1" applyAlignment="1">
      <alignment wrapText="1"/>
    </xf>
    <xf numFmtId="0" fontId="54" fillId="50" borderId="12" xfId="0" applyFont="1" applyFill="1" applyBorder="1"/>
    <xf numFmtId="0" fontId="54" fillId="50" borderId="13" xfId="0" applyFont="1" applyFill="1" applyBorder="1"/>
    <xf numFmtId="0" fontId="54" fillId="40" borderId="13" xfId="0" applyFont="1" applyFill="1" applyBorder="1"/>
    <xf numFmtId="0" fontId="52" fillId="0" borderId="15" xfId="0" applyFont="1" applyBorder="1"/>
    <xf numFmtId="0" fontId="52" fillId="0" borderId="14" xfId="0" applyFont="1" applyBorder="1"/>
    <xf numFmtId="8" fontId="52" fillId="0" borderId="14" xfId="0" applyNumberFormat="1" applyFont="1" applyBorder="1"/>
    <xf numFmtId="0" fontId="52" fillId="40" borderId="14" xfId="0" applyFont="1" applyFill="1" applyBorder="1"/>
    <xf numFmtId="8" fontId="52" fillId="40" borderId="14" xfId="0" applyNumberFormat="1" applyFont="1" applyFill="1" applyBorder="1"/>
    <xf numFmtId="0" fontId="52" fillId="43" borderId="14" xfId="0" applyFont="1" applyFill="1" applyBorder="1"/>
    <xf numFmtId="8" fontId="52" fillId="43" borderId="14" xfId="0" applyNumberFormat="1" applyFont="1" applyFill="1" applyBorder="1"/>
    <xf numFmtId="10" fontId="52" fillId="0" borderId="0" xfId="0" applyNumberFormat="1" applyFont="1"/>
    <xf numFmtId="0" fontId="55" fillId="0" borderId="0" xfId="0" applyFont="1"/>
    <xf numFmtId="0" fontId="48" fillId="0" borderId="13" xfId="0" applyFont="1" applyBorder="1"/>
    <xf numFmtId="0" fontId="57" fillId="0" borderId="0" xfId="0" applyFont="1"/>
    <xf numFmtId="0" fontId="36" fillId="34" borderId="0" xfId="0" applyFont="1" applyFill="1"/>
    <xf numFmtId="0" fontId="22" fillId="0" borderId="0" xfId="0" applyFont="1" applyAlignment="1">
      <alignment horizontal="left"/>
    </xf>
    <xf numFmtId="9" fontId="21" fillId="0" borderId="0" xfId="0" applyNumberFormat="1" applyFont="1" applyAlignment="1">
      <alignment horizontal="right" vertical="center"/>
    </xf>
    <xf numFmtId="0" fontId="58" fillId="0" borderId="14" xfId="0" applyFont="1" applyBorder="1" applyAlignment="1">
      <alignment wrapText="1"/>
    </xf>
    <xf numFmtId="14" fontId="58" fillId="0" borderId="14" xfId="0" applyNumberFormat="1" applyFont="1" applyBorder="1" applyAlignment="1">
      <alignment wrapText="1"/>
    </xf>
    <xf numFmtId="4" fontId="32" fillId="0" borderId="13" xfId="0" applyNumberFormat="1" applyFont="1" applyBorder="1"/>
    <xf numFmtId="8" fontId="32" fillId="0" borderId="14" xfId="0" applyNumberFormat="1" applyFont="1" applyBorder="1"/>
    <xf numFmtId="8" fontId="32" fillId="40" borderId="14" xfId="0" applyNumberFormat="1" applyFont="1" applyFill="1" applyBorder="1"/>
    <xf numFmtId="8" fontId="32" fillId="0" borderId="0" xfId="0" applyNumberFormat="1" applyFont="1"/>
    <xf numFmtId="8" fontId="32" fillId="0" borderId="13" xfId="0" applyNumberFormat="1" applyFont="1" applyBorder="1"/>
    <xf numFmtId="0" fontId="31" fillId="48" borderId="14" xfId="0" applyFont="1" applyFill="1" applyBorder="1" applyAlignment="1">
      <alignment wrapText="1"/>
    </xf>
    <xf numFmtId="14" fontId="31" fillId="48" borderId="14" xfId="0" applyNumberFormat="1" applyFont="1" applyFill="1" applyBorder="1" applyAlignment="1">
      <alignment wrapText="1"/>
    </xf>
    <xf numFmtId="0" fontId="59" fillId="0" borderId="14" xfId="0" applyFont="1" applyBorder="1" applyAlignment="1">
      <alignment wrapText="1"/>
    </xf>
    <xf numFmtId="14" fontId="59" fillId="0" borderId="14" xfId="0" applyNumberFormat="1" applyFont="1" applyBorder="1" applyAlignment="1">
      <alignment wrapText="1"/>
    </xf>
    <xf numFmtId="4" fontId="60" fillId="0" borderId="13" xfId="0" applyNumberFormat="1" applyFont="1" applyBorder="1"/>
    <xf numFmtId="8" fontId="60" fillId="0" borderId="14" xfId="0" applyNumberFormat="1" applyFont="1" applyBorder="1"/>
    <xf numFmtId="8" fontId="60" fillId="40" borderId="13" xfId="0" applyNumberFormat="1" applyFont="1" applyFill="1" applyBorder="1"/>
    <xf numFmtId="9" fontId="60" fillId="0" borderId="14" xfId="0" applyNumberFormat="1" applyFont="1" applyBorder="1"/>
    <xf numFmtId="8" fontId="60" fillId="40" borderId="14" xfId="0" applyNumberFormat="1" applyFont="1" applyFill="1" applyBorder="1"/>
    <xf numFmtId="4" fontId="60" fillId="0" borderId="14" xfId="0" applyNumberFormat="1" applyFont="1" applyBorder="1"/>
    <xf numFmtId="0" fontId="31" fillId="0" borderId="12" xfId="0" applyFont="1" applyBorder="1" applyAlignment="1">
      <alignment wrapText="1"/>
    </xf>
    <xf numFmtId="0" fontId="31" fillId="0" borderId="15" xfId="0" applyFont="1" applyBorder="1" applyAlignment="1">
      <alignment wrapText="1"/>
    </xf>
    <xf numFmtId="0" fontId="59" fillId="0" borderId="15" xfId="0" applyFont="1" applyBorder="1" applyAlignment="1">
      <alignment wrapText="1"/>
    </xf>
    <xf numFmtId="0" fontId="58" fillId="0" borderId="15" xfId="0" applyFont="1" applyBorder="1" applyAlignment="1">
      <alignment wrapText="1"/>
    </xf>
    <xf numFmtId="0" fontId="33" fillId="0" borderId="15" xfId="0" applyFont="1" applyBorder="1" applyAlignment="1">
      <alignment wrapText="1"/>
    </xf>
    <xf numFmtId="7" fontId="24" fillId="0" borderId="11" xfId="0" applyNumberFormat="1" applyFont="1" applyBorder="1" applyAlignment="1">
      <alignment horizontal="right" vertical="center"/>
    </xf>
    <xf numFmtId="9" fontId="52" fillId="0" borderId="0" xfId="0" applyNumberFormat="1" applyFont="1"/>
    <xf numFmtId="0" fontId="20" fillId="33" borderId="0" xfId="0" applyFont="1" applyFill="1" applyAlignment="1">
      <alignment horizontal="left" wrapText="1"/>
    </xf>
    <xf numFmtId="0" fontId="20" fillId="51" borderId="0" xfId="0" applyFont="1" applyFill="1" applyAlignment="1">
      <alignment horizontal="right" wrapText="1"/>
    </xf>
    <xf numFmtId="0" fontId="26" fillId="46" borderId="0" xfId="0" applyFont="1" applyFill="1" applyAlignment="1">
      <alignment wrapText="1"/>
    </xf>
    <xf numFmtId="0" fontId="0" fillId="0" borderId="0" xfId="0" applyAlignment="1">
      <alignment wrapText="1"/>
    </xf>
    <xf numFmtId="0" fontId="36" fillId="47" borderId="0" xfId="0" applyFont="1" applyFill="1"/>
    <xf numFmtId="10" fontId="36" fillId="47" borderId="0" xfId="0" applyNumberFormat="1" applyFont="1" applyFill="1"/>
    <xf numFmtId="9" fontId="36" fillId="47" borderId="0" xfId="0" applyNumberFormat="1" applyFont="1" applyFill="1"/>
    <xf numFmtId="0" fontId="0" fillId="47" borderId="0" xfId="0" applyFill="1"/>
    <xf numFmtId="4" fontId="25" fillId="0" borderId="0" xfId="0" applyNumberFormat="1" applyFont="1"/>
    <xf numFmtId="0" fontId="25" fillId="0" borderId="0" xfId="0" applyFont="1" applyAlignment="1">
      <alignment wrapText="1"/>
    </xf>
    <xf numFmtId="10" fontId="51" fillId="0" borderId="0" xfId="0" applyNumberFormat="1" applyFont="1"/>
    <xf numFmtId="0" fontId="51" fillId="0" borderId="0" xfId="0" applyFont="1"/>
    <xf numFmtId="164" fontId="51" fillId="0" borderId="0" xfId="0" applyNumberFormat="1" applyFont="1"/>
    <xf numFmtId="164" fontId="26" fillId="0" borderId="0" xfId="0" applyNumberFormat="1" applyFont="1"/>
    <xf numFmtId="0" fontId="51" fillId="34" borderId="0" xfId="0" applyFont="1" applyFill="1"/>
    <xf numFmtId="0" fontId="61" fillId="0" borderId="0" xfId="0" applyFont="1"/>
    <xf numFmtId="0" fontId="61" fillId="0" borderId="10" xfId="0" applyFont="1" applyBorder="1"/>
    <xf numFmtId="8" fontId="61" fillId="0" borderId="10" xfId="0" applyNumberFormat="1" applyFont="1" applyBorder="1"/>
    <xf numFmtId="0" fontId="61" fillId="0" borderId="11" xfId="0" applyFont="1" applyBorder="1"/>
    <xf numFmtId="8" fontId="61" fillId="0" borderId="11" xfId="0" applyNumberFormat="1" applyFont="1" applyBorder="1"/>
    <xf numFmtId="0" fontId="52" fillId="53" borderId="21" xfId="0" applyFont="1" applyFill="1" applyBorder="1" applyAlignment="1">
      <alignment wrapText="1"/>
    </xf>
    <xf numFmtId="0" fontId="64" fillId="54" borderId="23" xfId="0" applyFont="1" applyFill="1" applyBorder="1" applyAlignment="1">
      <alignment wrapText="1"/>
    </xf>
    <xf numFmtId="0" fontId="64" fillId="55" borderId="25" xfId="0" applyFont="1" applyFill="1" applyBorder="1" applyAlignment="1">
      <alignment wrapText="1"/>
    </xf>
    <xf numFmtId="0" fontId="64" fillId="55" borderId="28" xfId="0" applyFont="1" applyFill="1" applyBorder="1" applyAlignment="1">
      <alignment wrapText="1"/>
    </xf>
    <xf numFmtId="0" fontId="38" fillId="0" borderId="12" xfId="0" applyFont="1" applyBorder="1"/>
    <xf numFmtId="0" fontId="38" fillId="0" borderId="13" xfId="0" applyFont="1" applyBorder="1"/>
    <xf numFmtId="0" fontId="38" fillId="57" borderId="29" xfId="0" applyFont="1" applyFill="1" applyBorder="1"/>
    <xf numFmtId="0" fontId="38" fillId="0" borderId="29" xfId="0" applyFont="1" applyBorder="1"/>
    <xf numFmtId="0" fontId="39" fillId="0" borderId="15" xfId="0" applyFont="1" applyBorder="1"/>
    <xf numFmtId="0" fontId="39" fillId="0" borderId="14" xfId="0" applyFont="1" applyBorder="1"/>
    <xf numFmtId="14" fontId="39" fillId="0" borderId="14" xfId="0" applyNumberFormat="1" applyFont="1" applyBorder="1"/>
    <xf numFmtId="0" fontId="39" fillId="57" borderId="13" xfId="0" applyFont="1" applyFill="1" applyBorder="1"/>
    <xf numFmtId="0" fontId="39" fillId="0" borderId="13" xfId="0" applyFont="1" applyBorder="1"/>
    <xf numFmtId="0" fontId="39" fillId="57" borderId="14" xfId="0" applyFont="1" applyFill="1" applyBorder="1"/>
    <xf numFmtId="0" fontId="52" fillId="58" borderId="0" xfId="0" applyFont="1" applyFill="1"/>
    <xf numFmtId="8" fontId="52" fillId="58" borderId="0" xfId="0" applyNumberFormat="1" applyFont="1" applyFill="1"/>
    <xf numFmtId="0" fontId="52" fillId="59" borderId="0" xfId="0" applyFont="1" applyFill="1"/>
    <xf numFmtId="8" fontId="52" fillId="59" borderId="0" xfId="0" applyNumberFormat="1" applyFont="1" applyFill="1"/>
    <xf numFmtId="0" fontId="52" fillId="60" borderId="0" xfId="0" applyFont="1" applyFill="1"/>
    <xf numFmtId="8" fontId="52" fillId="60" borderId="0" xfId="0" applyNumberFormat="1" applyFont="1" applyFill="1"/>
    <xf numFmtId="0" fontId="52" fillId="61" borderId="0" xfId="0" applyFont="1" applyFill="1"/>
    <xf numFmtId="8" fontId="52" fillId="61" borderId="0" xfId="0" applyNumberFormat="1" applyFont="1" applyFill="1"/>
    <xf numFmtId="0" fontId="52" fillId="43" borderId="0" xfId="0" applyFont="1" applyFill="1"/>
    <xf numFmtId="8" fontId="52" fillId="43" borderId="0" xfId="0" applyNumberFormat="1" applyFont="1" applyFill="1"/>
    <xf numFmtId="0" fontId="19" fillId="0" borderId="0" xfId="0" applyFont="1" applyAlignment="1">
      <alignment horizontal="center"/>
    </xf>
    <xf numFmtId="44" fontId="35" fillId="62" borderId="0" xfId="42" applyFont="1" applyFill="1"/>
    <xf numFmtId="44" fontId="0" fillId="0" borderId="0" xfId="42" applyFont="1"/>
    <xf numFmtId="0" fontId="66" fillId="0" borderId="0" xfId="0" applyFont="1" applyAlignment="1">
      <alignment horizontal="center"/>
    </xf>
    <xf numFmtId="167" fontId="0" fillId="0" borderId="0" xfId="0" applyNumberFormat="1"/>
    <xf numFmtId="167" fontId="66" fillId="0" borderId="0" xfId="0" applyNumberFormat="1" applyFont="1" applyAlignment="1">
      <alignment horizontal="center"/>
    </xf>
    <xf numFmtId="14" fontId="0" fillId="0" borderId="0" xfId="0" applyNumberFormat="1"/>
    <xf numFmtId="167" fontId="0" fillId="47" borderId="0" xfId="42" applyNumberFormat="1" applyFont="1" applyFill="1"/>
    <xf numFmtId="44" fontId="0" fillId="0" borderId="0" xfId="0" applyNumberFormat="1"/>
    <xf numFmtId="9" fontId="0" fillId="0" borderId="0" xfId="43" applyFont="1"/>
    <xf numFmtId="167" fontId="26" fillId="0" borderId="0" xfId="0" applyNumberFormat="1" applyFont="1"/>
    <xf numFmtId="44" fontId="0" fillId="47" borderId="0" xfId="42" applyFont="1" applyFill="1"/>
    <xf numFmtId="44" fontId="26" fillId="47" borderId="0" xfId="42" applyFont="1" applyFill="1"/>
    <xf numFmtId="44" fontId="26" fillId="0" borderId="0" xfId="42" applyFont="1"/>
    <xf numFmtId="44" fontId="51" fillId="47" borderId="0" xfId="42" applyFont="1" applyFill="1"/>
    <xf numFmtId="44" fontId="26" fillId="0" borderId="0" xfId="0" applyNumberFormat="1" applyFont="1"/>
    <xf numFmtId="44" fontId="0" fillId="0" borderId="0" xfId="42" applyFont="1" applyFill="1"/>
    <xf numFmtId="168" fontId="0" fillId="0" borderId="0" xfId="0" applyNumberFormat="1"/>
    <xf numFmtId="44" fontId="0" fillId="63" borderId="0" xfId="42" applyFont="1" applyFill="1"/>
    <xf numFmtId="0" fontId="22" fillId="63" borderId="0" xfId="0" applyFont="1" applyFill="1" applyAlignment="1">
      <alignment horizontal="left" indent="3"/>
    </xf>
    <xf numFmtId="7" fontId="22" fillId="63" borderId="0" xfId="0" applyNumberFormat="1" applyFont="1" applyFill="1" applyAlignment="1">
      <alignment horizontal="right" vertical="center"/>
    </xf>
    <xf numFmtId="44" fontId="26" fillId="0" borderId="0" xfId="42" applyFont="1" applyFill="1"/>
    <xf numFmtId="44" fontId="0" fillId="34" borderId="0" xfId="42" applyFont="1" applyFill="1"/>
    <xf numFmtId="7" fontId="21" fillId="63" borderId="0" xfId="0" applyNumberFormat="1" applyFont="1" applyFill="1" applyAlignment="1">
      <alignment horizontal="right" vertical="center"/>
    </xf>
    <xf numFmtId="0" fontId="51" fillId="63" borderId="0" xfId="0" applyFont="1" applyFill="1"/>
    <xf numFmtId="0" fontId="21" fillId="63" borderId="0" xfId="0" applyFont="1" applyFill="1" applyAlignment="1">
      <alignment horizontal="left" indent="2"/>
    </xf>
    <xf numFmtId="44" fontId="26" fillId="63" borderId="0" xfId="42" applyFont="1" applyFill="1"/>
    <xf numFmtId="9" fontId="30" fillId="0" borderId="0" xfId="0" applyNumberFormat="1" applyFont="1"/>
    <xf numFmtId="9" fontId="60" fillId="0" borderId="0" xfId="0" applyNumberFormat="1" applyFont="1"/>
    <xf numFmtId="9" fontId="32" fillId="0" borderId="0" xfId="0" applyNumberFormat="1" applyFont="1"/>
    <xf numFmtId="9" fontId="28" fillId="0" borderId="0" xfId="0" applyNumberFormat="1" applyFont="1"/>
    <xf numFmtId="0" fontId="29" fillId="38" borderId="0" xfId="0" applyFont="1" applyFill="1" applyAlignment="1">
      <alignment wrapText="1"/>
    </xf>
    <xf numFmtId="10" fontId="25" fillId="0" borderId="0" xfId="0" applyNumberFormat="1" applyFont="1"/>
    <xf numFmtId="0" fontId="35" fillId="0" borderId="0" xfId="0" applyFont="1" applyAlignment="1">
      <alignment horizontal="right" wrapText="1"/>
    </xf>
    <xf numFmtId="0" fontId="35" fillId="0" borderId="0" xfId="0" applyFont="1" applyAlignment="1">
      <alignment wrapText="1"/>
    </xf>
    <xf numFmtId="0" fontId="48" fillId="0" borderId="22" xfId="0" applyFont="1" applyBorder="1"/>
    <xf numFmtId="169" fontId="36" fillId="0" borderId="0" xfId="0" applyNumberFormat="1" applyFont="1"/>
    <xf numFmtId="0" fontId="20" fillId="51" borderId="0" xfId="0" applyFont="1" applyFill="1" applyAlignment="1">
      <alignment horizontal="left" wrapText="1"/>
    </xf>
    <xf numFmtId="0" fontId="35" fillId="45" borderId="20" xfId="0" applyFont="1" applyFill="1" applyBorder="1"/>
    <xf numFmtId="0" fontId="35" fillId="45" borderId="19" xfId="0" applyFont="1" applyFill="1" applyBorder="1"/>
    <xf numFmtId="0" fontId="48" fillId="45" borderId="20" xfId="0" applyFont="1" applyFill="1" applyBorder="1"/>
    <xf numFmtId="0" fontId="35" fillId="45" borderId="0" xfId="0" applyFont="1" applyFill="1" applyAlignment="1">
      <alignment horizontal="right"/>
    </xf>
    <xf numFmtId="0" fontId="35" fillId="45" borderId="14" xfId="0" applyFont="1" applyFill="1" applyBorder="1"/>
    <xf numFmtId="0" fontId="35" fillId="45" borderId="15" xfId="0" applyFont="1" applyFill="1" applyBorder="1"/>
    <xf numFmtId="0" fontId="48" fillId="45" borderId="14" xfId="0" applyFont="1" applyFill="1" applyBorder="1"/>
    <xf numFmtId="0" fontId="35" fillId="45" borderId="0" xfId="0" applyFont="1" applyFill="1"/>
    <xf numFmtId="0" fontId="35" fillId="45" borderId="13" xfId="0" applyFont="1" applyFill="1" applyBorder="1"/>
    <xf numFmtId="0" fontId="35" fillId="45" borderId="18" xfId="0" applyFont="1" applyFill="1" applyBorder="1"/>
    <xf numFmtId="4" fontId="28" fillId="0" borderId="13" xfId="0" applyNumberFormat="1" applyFont="1" applyBorder="1"/>
    <xf numFmtId="8" fontId="28" fillId="40" borderId="13" xfId="0" applyNumberFormat="1" applyFont="1" applyFill="1" applyBorder="1"/>
    <xf numFmtId="165" fontId="60" fillId="0" borderId="14" xfId="0" applyNumberFormat="1" applyFont="1" applyBorder="1"/>
    <xf numFmtId="44" fontId="23" fillId="0" borderId="0" xfId="42" applyFont="1"/>
    <xf numFmtId="0" fontId="22" fillId="0" borderId="0" xfId="0" applyFont="1"/>
    <xf numFmtId="44" fontId="20" fillId="33" borderId="0" xfId="42" applyFont="1" applyFill="1" applyAlignment="1">
      <alignment horizontal="right" wrapText="1"/>
    </xf>
    <xf numFmtId="44" fontId="22" fillId="0" borderId="0" xfId="42" applyFont="1" applyAlignment="1">
      <alignment horizontal="right" vertical="center"/>
    </xf>
    <xf numFmtId="44" fontId="21" fillId="0" borderId="10" xfId="42" applyFont="1" applyBorder="1" applyAlignment="1">
      <alignment horizontal="right" vertical="center"/>
    </xf>
    <xf numFmtId="44" fontId="21" fillId="0" borderId="11" xfId="42" applyFont="1" applyBorder="1" applyAlignment="1">
      <alignment horizontal="right" vertical="center"/>
    </xf>
    <xf numFmtId="0" fontId="50" fillId="0" borderId="0" xfId="0" applyFont="1"/>
    <xf numFmtId="8" fontId="36" fillId="0" borderId="0" xfId="0" applyNumberFormat="1" applyFont="1"/>
    <xf numFmtId="8" fontId="56" fillId="0" borderId="0" xfId="0" applyNumberFormat="1" applyFont="1"/>
    <xf numFmtId="0" fontId="54" fillId="0" borderId="22" xfId="0" applyFont="1" applyBorder="1" applyAlignment="1">
      <alignment wrapText="1"/>
    </xf>
    <xf numFmtId="0" fontId="61" fillId="63" borderId="0" xfId="0" applyFont="1" applyFill="1"/>
    <xf numFmtId="0" fontId="20" fillId="52" borderId="0" xfId="0" applyFont="1" applyFill="1" applyAlignment="1">
      <alignment wrapText="1"/>
    </xf>
    <xf numFmtId="0" fontId="20" fillId="52" borderId="0" xfId="0" quotePrefix="1" applyFont="1" applyFill="1" applyAlignment="1">
      <alignment wrapText="1"/>
    </xf>
    <xf numFmtId="8" fontId="51" fillId="0" borderId="0" xfId="0" applyNumberFormat="1" applyFont="1"/>
    <xf numFmtId="44" fontId="22" fillId="64" borderId="0" xfId="42" applyFont="1" applyFill="1" applyAlignment="1">
      <alignment horizontal="right" vertical="center"/>
    </xf>
    <xf numFmtId="7" fontId="22" fillId="64" borderId="0" xfId="0" applyNumberFormat="1" applyFont="1" applyFill="1" applyAlignment="1">
      <alignment horizontal="right" vertical="center"/>
    </xf>
    <xf numFmtId="44" fontId="21" fillId="64" borderId="10" xfId="42" applyFont="1" applyFill="1" applyBorder="1" applyAlignment="1">
      <alignment horizontal="right" vertical="center"/>
    </xf>
    <xf numFmtId="0" fontId="43" fillId="0" borderId="0" xfId="0" applyFont="1"/>
    <xf numFmtId="0" fontId="62" fillId="0" borderId="0" xfId="0" applyFont="1" applyAlignment="1">
      <alignment wrapText="1"/>
    </xf>
    <xf numFmtId="0" fontId="44" fillId="0" borderId="0" xfId="0" applyFont="1"/>
    <xf numFmtId="0" fontId="52" fillId="0" borderId="0" xfId="0" applyFont="1" applyAlignment="1">
      <alignment wrapText="1"/>
    </xf>
    <xf numFmtId="0" fontId="53" fillId="0" borderId="0" xfId="0" applyFont="1" applyAlignment="1">
      <alignment wrapText="1"/>
    </xf>
    <xf numFmtId="0" fontId="63" fillId="0" borderId="0" xfId="0" applyFont="1" applyAlignment="1">
      <alignment wrapText="1"/>
    </xf>
    <xf numFmtId="0" fontId="53" fillId="0" borderId="17" xfId="0" applyFont="1" applyBorder="1" applyAlignment="1">
      <alignment wrapText="1"/>
    </xf>
    <xf numFmtId="0" fontId="52" fillId="53" borderId="0" xfId="0" applyFont="1" applyFill="1" applyAlignment="1">
      <alignment wrapText="1"/>
    </xf>
    <xf numFmtId="0" fontId="45" fillId="0" borderId="0" xfId="0" applyFont="1"/>
    <xf numFmtId="0" fontId="52" fillId="0" borderId="23" xfId="0" applyFont="1" applyBorder="1" applyAlignment="1">
      <alignment wrapText="1"/>
    </xf>
    <xf numFmtId="0" fontId="52" fillId="0" borderId="24" xfId="0" applyFont="1" applyBorder="1" applyAlignment="1">
      <alignment wrapText="1"/>
    </xf>
    <xf numFmtId="0" fontId="64" fillId="55" borderId="26" xfId="0" applyFont="1" applyFill="1" applyBorder="1"/>
    <xf numFmtId="0" fontId="64" fillId="55" borderId="27" xfId="0" applyFont="1" applyFill="1" applyBorder="1"/>
    <xf numFmtId="0" fontId="52" fillId="56" borderId="30" xfId="0" applyFont="1" applyFill="1" applyBorder="1" applyAlignment="1">
      <alignment wrapText="1"/>
    </xf>
    <xf numFmtId="0" fontId="52" fillId="56" borderId="31" xfId="0" applyFont="1" applyFill="1" applyBorder="1"/>
    <xf numFmtId="0" fontId="52" fillId="56" borderId="32" xfId="0" applyFont="1" applyFill="1" applyBorder="1"/>
    <xf numFmtId="0" fontId="52" fillId="0" borderId="30" xfId="0" applyFont="1" applyBorder="1" applyAlignment="1">
      <alignment wrapText="1"/>
    </xf>
    <xf numFmtId="0" fontId="52" fillId="0" borderId="31" xfId="0" applyFont="1" applyBorder="1"/>
    <xf numFmtId="0" fontId="52" fillId="0" borderId="32" xfId="0" applyFont="1" applyBorder="1"/>
    <xf numFmtId="0" fontId="53" fillId="0" borderId="32" xfId="0" applyFont="1" applyBorder="1"/>
    <xf numFmtId="0" fontId="52" fillId="56" borderId="33" xfId="0" applyFont="1" applyFill="1" applyBorder="1" applyAlignment="1">
      <alignment wrapText="1"/>
    </xf>
    <xf numFmtId="0" fontId="52" fillId="0" borderId="33" xfId="0" applyFont="1" applyBorder="1" applyAlignment="1">
      <alignment wrapText="1"/>
    </xf>
    <xf numFmtId="8" fontId="36" fillId="65" borderId="0" xfId="0" applyNumberFormat="1" applyFont="1" applyFill="1"/>
    <xf numFmtId="8" fontId="44" fillId="65" borderId="0" xfId="0" applyNumberFormat="1" applyFont="1" applyFill="1"/>
    <xf numFmtId="0" fontId="46" fillId="0" borderId="0" xfId="0" applyFont="1"/>
    <xf numFmtId="8" fontId="45" fillId="65" borderId="0" xfId="0" applyNumberFormat="1" applyFont="1" applyFill="1"/>
    <xf numFmtId="8" fontId="35" fillId="0" borderId="0" xfId="0" applyNumberFormat="1" applyFont="1"/>
    <xf numFmtId="8" fontId="43" fillId="0" borderId="0" xfId="0" applyNumberFormat="1" applyFont="1"/>
    <xf numFmtId="8" fontId="44" fillId="0" borderId="0" xfId="0" applyNumberFormat="1" applyFont="1"/>
    <xf numFmtId="8" fontId="45" fillId="0" borderId="0" xfId="0" applyNumberFormat="1" applyFont="1"/>
    <xf numFmtId="0" fontId="43" fillId="0" borderId="0" xfId="0" applyFont="1" applyAlignment="1">
      <alignment wrapText="1"/>
    </xf>
    <xf numFmtId="0" fontId="44" fillId="0" borderId="0" xfId="0" applyFont="1" applyAlignment="1">
      <alignment wrapText="1"/>
    </xf>
    <xf numFmtId="8" fontId="44" fillId="0" borderId="0" xfId="0" applyNumberFormat="1" applyFont="1" applyAlignment="1">
      <alignment wrapText="1"/>
    </xf>
    <xf numFmtId="0" fontId="32" fillId="0" borderId="0" xfId="0" applyFont="1"/>
    <xf numFmtId="0" fontId="47" fillId="0" borderId="0" xfId="0" applyFont="1"/>
    <xf numFmtId="0" fontId="68" fillId="0" borderId="0" xfId="0" applyFont="1"/>
    <xf numFmtId="0" fontId="69" fillId="0" borderId="0" xfId="0" applyFont="1"/>
    <xf numFmtId="8" fontId="69" fillId="0" borderId="0" xfId="0" applyNumberFormat="1" applyFont="1"/>
    <xf numFmtId="0" fontId="64" fillId="58" borderId="12" xfId="0" applyFont="1" applyFill="1" applyBorder="1"/>
    <xf numFmtId="0" fontId="64" fillId="58" borderId="13" xfId="0" applyFont="1" applyFill="1" applyBorder="1"/>
    <xf numFmtId="0" fontId="53" fillId="40" borderId="15" xfId="0" applyFont="1" applyFill="1" applyBorder="1"/>
    <xf numFmtId="0" fontId="53" fillId="40" borderId="14" xfId="0" applyFont="1" applyFill="1" applyBorder="1"/>
    <xf numFmtId="0" fontId="70" fillId="40" borderId="14" xfId="0" applyFont="1" applyFill="1" applyBorder="1"/>
    <xf numFmtId="8" fontId="53" fillId="40" borderId="14" xfId="0" applyNumberFormat="1" applyFont="1" applyFill="1" applyBorder="1"/>
    <xf numFmtId="8" fontId="64" fillId="66" borderId="14" xfId="0" applyNumberFormat="1" applyFont="1" applyFill="1" applyBorder="1"/>
    <xf numFmtId="0" fontId="53" fillId="0" borderId="15" xfId="0" applyFont="1" applyBorder="1"/>
    <xf numFmtId="0" fontId="53" fillId="0" borderId="14" xfId="0" applyFont="1" applyBorder="1"/>
    <xf numFmtId="0" fontId="70" fillId="0" borderId="14" xfId="0" applyFont="1" applyBorder="1"/>
    <xf numFmtId="8" fontId="53" fillId="0" borderId="14" xfId="0" applyNumberFormat="1" applyFont="1" applyBorder="1"/>
    <xf numFmtId="0" fontId="53" fillId="0" borderId="0" xfId="0" applyFont="1"/>
    <xf numFmtId="0" fontId="64" fillId="58" borderId="0" xfId="0" applyFont="1" applyFill="1"/>
    <xf numFmtId="8" fontId="64" fillId="58" borderId="0" xfId="0" applyNumberFormat="1" applyFont="1" applyFill="1"/>
    <xf numFmtId="8" fontId="64" fillId="66" borderId="0" xfId="0" applyNumberFormat="1" applyFont="1" applyFill="1"/>
    <xf numFmtId="0" fontId="19" fillId="0" borderId="0" xfId="0" applyFont="1"/>
    <xf numFmtId="8" fontId="23" fillId="0" borderId="0" xfId="0" applyNumberFormat="1" applyFont="1"/>
    <xf numFmtId="8" fontId="26" fillId="0" borderId="0" xfId="0" applyNumberFormat="1" applyFont="1"/>
    <xf numFmtId="0" fontId="20" fillId="52" borderId="0" xfId="0" applyFont="1" applyFill="1"/>
    <xf numFmtId="14" fontId="51" fillId="0" borderId="0" xfId="0" applyNumberFormat="1" applyFont="1"/>
    <xf numFmtId="7" fontId="22" fillId="64" borderId="0" xfId="42" applyNumberFormat="1" applyFont="1" applyFill="1" applyAlignment="1">
      <alignment horizontal="right" vertical="center"/>
    </xf>
    <xf numFmtId="0" fontId="35" fillId="34" borderId="22" xfId="0" applyFont="1" applyFill="1" applyBorder="1"/>
    <xf numFmtId="164" fontId="68" fillId="0" borderId="0" xfId="0" applyNumberFormat="1" applyFont="1"/>
    <xf numFmtId="7" fontId="21" fillId="64" borderId="10" xfId="42" applyNumberFormat="1" applyFont="1" applyFill="1" applyBorder="1" applyAlignment="1">
      <alignment horizontal="right" vertical="center"/>
    </xf>
    <xf numFmtId="44" fontId="21" fillId="64" borderId="11" xfId="42" applyFont="1" applyFill="1" applyBorder="1" applyAlignment="1">
      <alignment horizontal="right" vertical="center"/>
    </xf>
    <xf numFmtId="44" fontId="21" fillId="64" borderId="0" xfId="42" applyFont="1" applyFill="1" applyAlignment="1">
      <alignment horizontal="right" vertical="center"/>
    </xf>
    <xf numFmtId="8" fontId="44" fillId="47" borderId="0" xfId="0" applyNumberFormat="1" applyFont="1" applyFill="1"/>
    <xf numFmtId="8" fontId="45" fillId="47" borderId="0" xfId="0" applyNumberFormat="1" applyFont="1" applyFill="1"/>
    <xf numFmtId="8" fontId="44" fillId="47" borderId="0" xfId="0" applyNumberFormat="1" applyFont="1" applyFill="1" applyAlignment="1">
      <alignment wrapText="1"/>
    </xf>
    <xf numFmtId="8" fontId="67" fillId="47" borderId="0" xfId="0" applyNumberFormat="1" applyFont="1" applyFill="1"/>
    <xf numFmtId="8" fontId="0" fillId="47" borderId="0" xfId="0" applyNumberFormat="1" applyFill="1"/>
    <xf numFmtId="8" fontId="71" fillId="0" borderId="0" xfId="0" applyNumberFormat="1" applyFont="1"/>
    <xf numFmtId="0" fontId="71" fillId="0" borderId="0" xfId="0" applyFont="1"/>
    <xf numFmtId="0" fontId="44" fillId="47" borderId="0" xfId="0" applyFont="1" applyFill="1"/>
    <xf numFmtId="8" fontId="71" fillId="47" borderId="0" xfId="0" applyNumberFormat="1" applyFont="1" applyFill="1"/>
    <xf numFmtId="44" fontId="0" fillId="64" borderId="0" xfId="42" applyFont="1" applyFill="1"/>
    <xf numFmtId="8" fontId="22" fillId="64" borderId="0" xfId="42" applyNumberFormat="1" applyFont="1" applyFill="1" applyAlignment="1">
      <alignment horizontal="right" vertical="center"/>
    </xf>
    <xf numFmtId="7" fontId="21" fillId="0" borderId="0" xfId="42" applyNumberFormat="1" applyFont="1" applyFill="1" applyAlignment="1">
      <alignment horizontal="right" vertical="center"/>
    </xf>
    <xf numFmtId="7" fontId="22" fillId="46" borderId="0" xfId="0" applyNumberFormat="1" applyFont="1" applyFill="1" applyAlignment="1">
      <alignment horizontal="right" vertical="center"/>
    </xf>
    <xf numFmtId="7" fontId="21" fillId="46" borderId="10" xfId="0" applyNumberFormat="1" applyFont="1" applyFill="1" applyBorder="1" applyAlignment="1">
      <alignment horizontal="right" vertical="center"/>
    </xf>
    <xf numFmtId="7" fontId="21" fillId="46" borderId="0" xfId="0" applyNumberFormat="1" applyFont="1" applyFill="1" applyAlignment="1">
      <alignment horizontal="right" vertical="center"/>
    </xf>
    <xf numFmtId="44" fontId="21" fillId="46" borderId="0" xfId="42" applyFont="1" applyFill="1" applyAlignment="1">
      <alignment horizontal="right" vertical="center"/>
    </xf>
    <xf numFmtId="7" fontId="21" fillId="46" borderId="11" xfId="0" applyNumberFormat="1" applyFont="1" applyFill="1" applyBorder="1" applyAlignment="1">
      <alignment horizontal="right" vertical="center"/>
    </xf>
    <xf numFmtId="43" fontId="22" fillId="46" borderId="0" xfId="0" applyNumberFormat="1" applyFont="1" applyFill="1" applyAlignment="1">
      <alignment horizontal="right" vertical="center"/>
    </xf>
    <xf numFmtId="2" fontId="0" fillId="46" borderId="0" xfId="0" applyNumberFormat="1" applyFill="1"/>
    <xf numFmtId="164" fontId="22" fillId="46" borderId="0" xfId="0" applyNumberFormat="1" applyFont="1" applyFill="1" applyAlignment="1">
      <alignment horizontal="right" vertical="center"/>
    </xf>
    <xf numFmtId="0" fontId="0" fillId="46" borderId="0" xfId="0" applyFill="1"/>
    <xf numFmtId="44" fontId="22" fillId="34" borderId="0" xfId="42" applyFont="1" applyFill="1" applyAlignment="1">
      <alignment horizontal="right" vertical="center"/>
    </xf>
    <xf numFmtId="44" fontId="21" fillId="34" borderId="10" xfId="42" applyFont="1" applyFill="1" applyBorder="1" applyAlignment="1">
      <alignment horizontal="right" vertical="center"/>
    </xf>
    <xf numFmtId="7" fontId="22" fillId="0" borderId="0" xfId="42" applyNumberFormat="1" applyFont="1" applyFill="1" applyAlignment="1">
      <alignment horizontal="right" vertical="center"/>
    </xf>
    <xf numFmtId="43" fontId="22" fillId="0" borderId="0" xfId="0" applyNumberFormat="1" applyFont="1" applyAlignment="1">
      <alignment horizontal="right" vertical="center"/>
    </xf>
    <xf numFmtId="44" fontId="21" fillId="0" borderId="10" xfId="42" applyFont="1" applyFill="1" applyBorder="1" applyAlignment="1">
      <alignment horizontal="right" vertical="center"/>
    </xf>
    <xf numFmtId="7" fontId="21" fillId="0" borderId="10" xfId="42" applyNumberFormat="1" applyFont="1" applyFill="1" applyBorder="1" applyAlignment="1">
      <alignment horizontal="right" vertical="center"/>
    </xf>
    <xf numFmtId="43" fontId="21" fillId="0" borderId="10" xfId="0" applyNumberFormat="1" applyFont="1" applyBorder="1" applyAlignment="1">
      <alignment horizontal="right" vertical="center"/>
    </xf>
    <xf numFmtId="164" fontId="22" fillId="0" borderId="0" xfId="0" applyNumberFormat="1" applyFont="1" applyAlignment="1">
      <alignment horizontal="right" vertical="center"/>
    </xf>
    <xf numFmtId="44" fontId="22" fillId="0" borderId="0" xfId="42" applyFont="1" applyFill="1" applyAlignment="1">
      <alignment horizontal="right" vertical="center"/>
    </xf>
    <xf numFmtId="8" fontId="61" fillId="0" borderId="0" xfId="0" applyNumberFormat="1" applyFont="1"/>
    <xf numFmtId="44" fontId="18" fillId="33" borderId="0" xfId="42" applyFont="1" applyFill="1" applyAlignment="1">
      <alignment horizontal="right" wrapText="1"/>
    </xf>
    <xf numFmtId="0" fontId="18" fillId="33" borderId="0" xfId="42" applyNumberFormat="1" applyFont="1" applyFill="1" applyAlignment="1">
      <alignment horizontal="right" wrapText="1"/>
    </xf>
    <xf numFmtId="44" fontId="21" fillId="0" borderId="11" xfId="42" applyFont="1" applyFill="1" applyBorder="1" applyAlignment="1">
      <alignment horizontal="right" vertical="center"/>
    </xf>
    <xf numFmtId="7" fontId="21" fillId="0" borderId="0" xfId="42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51" fillId="0" borderId="0" xfId="0" applyFont="1" applyAlignment="1">
      <alignment horizontal="left"/>
    </xf>
    <xf numFmtId="43" fontId="22" fillId="0" borderId="0" xfId="42" applyNumberFormat="1" applyFont="1" applyFill="1" applyAlignment="1">
      <alignment horizontal="right" vertic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0" fontId="35" fillId="0" borderId="16" xfId="0" applyFont="1" applyBorder="1"/>
    <xf numFmtId="0" fontId="35" fillId="0" borderId="17" xfId="0" applyFont="1" applyBorder="1"/>
    <xf numFmtId="0" fontId="35" fillId="0" borderId="18" xfId="0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2</xdr:col>
      <xdr:colOff>666750</xdr:colOff>
      <xdr:row>55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3406C8-7AA4-BD46-664E-EEF56AE5D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13763625"/>
          <a:ext cx="3695700" cy="4572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6</xdr:col>
      <xdr:colOff>2209800</xdr:colOff>
      <xdr:row>55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26748D-DD4C-6979-66D2-FB4B219AA4BB}"/>
            </a:ext>
            <a:ext uri="{147F2762-F138-4A5C-976F-8EAC2B608ADB}">
              <a16:predDERef xmlns:a16="http://schemas.microsoft.com/office/drawing/2014/main" pred="{263406C8-7AA4-BD46-664E-EEF56AE5D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81575" y="13763625"/>
          <a:ext cx="3038475" cy="4562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lliam Barone" id="{5CA435F2-9208-413E-B7AE-E9E4B4D736B4}" userId="S::william.barone@aaapp.org::e4a7c3db-8d15-4675-814b-805750e5bf1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B7" dT="2024-08-05T03:13:00.13" personId="{5CA435F2-9208-413E-B7AE-E9E4B4D736B4}" id="{6CEF1D78-0D1B-4BDE-96D2-5C80AB544902}">
    <text>Based on % of total expense for that line item amongst the various programs</text>
  </threadedComment>
  <threadedComment ref="CC7" dT="2024-08-05T03:18:56.74" personId="{5CA435F2-9208-413E-B7AE-E9E4B4D736B4}" id="{371D8B1A-5857-4CA8-864B-5424060578E3}">
    <text>Based on June YTD x 2 for 12 months x various % raises BEFORE I spread ARP 2024 June YTD expense x 2 throughout the programs</text>
  </threadedComment>
  <threadedComment ref="BI14" dT="2024-08-05T16:27:19.56" personId="{5CA435F2-9208-413E-B7AE-E9E4B4D736B4}" id="{5C37B60C-387D-45B6-A9F1-2BF9DF597226}">
    <text>revenue stated is off contract</text>
  </threadedComment>
  <threadedComment ref="BG37" dT="2024-08-05T18:12:26.58" personId="{5CA435F2-9208-413E-B7AE-E9E4B4D736B4}" id="{D8ECE410-2460-45B8-BE29-0DA77BF699F0}">
    <text>No salaries in 2025</text>
  </threadedComment>
  <threadedComment ref="C57" dT="2024-08-02T20:11:55.63" personId="{5CA435F2-9208-413E-B7AE-E9E4B4D736B4}" id="{A9A1C413-07FC-49A2-8369-89AD220761E1}">
    <text>Subtracted $32,950 in Fontana Bills in 2024</text>
  </threadedComment>
  <threadedComment ref="BA57" dT="2024-08-02T20:10:36.23" personId="{5CA435F2-9208-413E-B7AE-E9E4B4D736B4}" id="{C74E86DA-B444-4BA5-8D47-C4055E794D5B}">
    <text>Relentless $2500 each per month</text>
  </threadedComment>
  <threadedComment ref="A60" dT="2024-08-03T15:51:29.89" personId="{5CA435F2-9208-413E-B7AE-E9E4B4D736B4}" id="{816E031C-DDD2-4E2C-9958-D1B682035309}">
    <text>Breakdown below</text>
  </threadedComment>
  <threadedComment ref="C84" dT="2024-08-05T05:31:29.32" personId="{5CA435F2-9208-413E-B7AE-E9E4B4D736B4}" id="{98F6CFF6-B5EA-4EA0-96A1-B055F84126E5}">
    <text>Added total ARP expenses ALL to 1005 since it was near 100% of total expenses for this line item</text>
  </threadedComment>
  <threadedComment ref="C85" dT="2024-08-05T05:31:39.16" personId="{5CA435F2-9208-413E-B7AE-E9E4B4D736B4}" id="{B2E94608-27BB-4B56-B019-F2EF3D5CA1AA}">
    <text>Added total ARP expenses ALL to 1005 since it was near 100% of total expenses for this line item</text>
  </threadedComment>
  <threadedComment ref="D93" dT="2024-08-05T18:31:08.77" personId="{5CA435F2-9208-413E-B7AE-E9E4B4D736B4}" id="{B0361A85-8FFC-4381-8F9E-1EF79312FF28}">
    <text>Zeroed out 1100 surplus so I transferred $2061.36 expense from 1100 to 1010</text>
  </threadedComment>
  <threadedComment ref="AB93" dT="2024-08-03T00:21:39.84" personId="{5CA435F2-9208-413E-B7AE-E9E4B4D736B4}" id="{55626282-FFF8-4479-BC60-08B331D2D153}">
    <text>Subtracted amount to make total budget match Cisco's small equipment spreadsheet tab</text>
  </threadedComment>
  <threadedComment ref="AZ93" dT="2024-08-05T18:31:38.35" personId="{5CA435F2-9208-413E-B7AE-E9E4B4D736B4}" id="{05EBECE9-27B2-4752-814C-CB8FB1141918}">
    <text>Zeroed out 1100 surplus so I transferred $2061.36 expense from 1100 to 1010</text>
  </threadedComment>
  <threadedComment ref="BI94" dT="2024-08-05T18:21:24.71" personId="{5CA435F2-9208-413E-B7AE-E9E4B4D736B4}" id="{2BDF900B-B9A6-4FE4-9E64-D0D8446B12E1}">
    <text>Inserted this amount here to zero 2503 Surplus.  Expense was previously in 2502 which I zeroed out of 2502</text>
  </threadedComment>
  <threadedComment ref="D107" dT="2024-08-05T18:25:59.44" personId="{5CA435F2-9208-413E-B7AE-E9E4B4D736B4}" id="{EC5D2D1D-7001-4BC8-ADD3-AF826E9E474F}">
    <text>Zeroed out surplus by subtracting $21.52 expense and transferring $21.52 to 1010 on the same line item</text>
  </threadedComment>
  <threadedComment ref="H107" dT="2024-08-05T18:25:48.36" personId="{5CA435F2-9208-413E-B7AE-E9E4B4D736B4}" id="{E7C172C3-70CA-4840-9863-886A9B051A97}">
    <text xml:space="preserve">Zeroed out surplus by subtracting $21.52 expense and transferring $21.52 to 1010 on the same line item </text>
  </threadedComment>
  <threadedComment ref="BB119" dT="2024-08-05T06:07:47.34" personId="{5CA435F2-9208-413E-B7AE-E9E4B4D736B4}" id="{74AC3A8D-77D4-4FA2-BC97-93DFA0FBDDCE}">
    <text>2 months depreciation on Fixed assets.  Both assets will be fully depreciated on 2-28-25</text>
  </threadedComment>
  <threadedComment ref="BG126" dT="2024-08-05T18:13:28.89" personId="{5CA435F2-9208-413E-B7AE-E9E4B4D736B4}" id="{40628BF2-564C-42EB-BF7B-DE9AE87754D1}">
    <text>Zeroed out this Grantt's expense because it expires on 12-31-24</text>
  </threadedComment>
  <threadedComment ref="BH126" dT="2024-08-05T18:17:20.35" personId="{5CA435F2-9208-413E-B7AE-E9E4B4D736B4}" id="{D7C4898C-BB78-49E1-A2E4-3F65AD830F3B}">
    <text>Zeroed out this Grantt's expense because it expires on 12-31-24</text>
  </threadedComment>
  <threadedComment ref="BI126" dT="2024-08-05T16:29:07.30" personId="{5CA435F2-9208-413E-B7AE-E9E4B4D736B4}" id="{53BA84CC-6C77-4FAC-AAEC-B6B899241A55}">
    <text xml:space="preserve">Kristina stated 100K in expenses in this line to offset the 110K revenue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N8" dT="2024-08-05T03:13:00.13" personId="{5CA435F2-9208-413E-B7AE-E9E4B4D736B4}" id="{E0D451AE-DE16-422D-9C39-E3C4D37230D6}">
    <text>Based on % of total expense for that line item amongst the various programs</text>
  </threadedComment>
  <threadedComment ref="BO8" dT="2024-08-05T03:18:56.74" personId="{5CA435F2-9208-413E-B7AE-E9E4B4D736B4}" id="{1134C6C5-4894-483A-A5A8-59353723034F}">
    <text>Based on June YTD x 2 for 12 months x various % raises BEFORE I spread ARP 2024 June YTD expense x 2 throughout the programs</text>
  </threadedComment>
  <threadedComment ref="A59" dT="2024-08-03T15:51:29.89" personId="{5CA435F2-9208-413E-B7AE-E9E4B4D736B4}" id="{5CFE3A22-99E9-459E-93FF-0A409548F028}">
    <text>Breakdown below</text>
  </threadedComment>
</ThreadedComment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89E07-9C3D-4456-B8EF-E377BB6DFD4C}">
  <dimension ref="A1:CF207"/>
  <sheetViews>
    <sheetView zoomScale="120" zoomScaleNormal="120" workbookViewId="0">
      <pane xSplit="1" ySplit="8" topLeftCell="BV29" activePane="bottomRight" state="frozen"/>
      <selection pane="topRight" activeCell="B1" sqref="B1"/>
      <selection pane="bottomLeft" activeCell="A9" sqref="A9"/>
      <selection pane="bottomRight" activeCell="CB51" sqref="CB51"/>
    </sheetView>
  </sheetViews>
  <sheetFormatPr defaultRowHeight="11.25"/>
  <cols>
    <col min="1" max="1" width="57.6640625" bestFit="1" customWidth="1"/>
    <col min="2" max="2" width="12.5" bestFit="1" customWidth="1"/>
    <col min="3" max="3" width="16.6640625" bestFit="1" customWidth="1"/>
    <col min="4" max="4" width="17" bestFit="1" customWidth="1"/>
    <col min="5" max="5" width="36.33203125" bestFit="1" customWidth="1"/>
    <col min="6" max="6" width="20.5" bestFit="1" customWidth="1"/>
    <col min="7" max="7" width="22.6640625" bestFit="1" customWidth="1"/>
    <col min="8" max="8" width="18.83203125" bestFit="1" customWidth="1"/>
    <col min="9" max="9" width="14.1640625" bestFit="1" customWidth="1"/>
    <col min="10" max="10" width="19.5" bestFit="1" customWidth="1"/>
    <col min="11" max="11" width="18.83203125" bestFit="1" customWidth="1"/>
    <col min="12" max="12" width="12.83203125" bestFit="1" customWidth="1"/>
    <col min="13" max="13" width="13" bestFit="1" customWidth="1"/>
    <col min="14" max="14" width="14.1640625" bestFit="1" customWidth="1"/>
    <col min="15" max="15" width="11.5" bestFit="1" customWidth="1"/>
    <col min="16" max="16" width="33.6640625" customWidth="1"/>
    <col min="17" max="17" width="39.1640625" customWidth="1"/>
    <col min="18" max="18" width="32.1640625" customWidth="1"/>
    <col min="19" max="19" width="16.6640625" bestFit="1" customWidth="1"/>
    <col min="20" max="20" width="20.33203125" bestFit="1" customWidth="1"/>
    <col min="21" max="21" width="19.5" bestFit="1" customWidth="1"/>
    <col min="22" max="23" width="20.1640625" bestFit="1" customWidth="1"/>
    <col min="24" max="24" width="26.5" bestFit="1" customWidth="1"/>
    <col min="25" max="25" width="17.1640625" bestFit="1" customWidth="1"/>
    <col min="26" max="26" width="17.33203125" bestFit="1" customWidth="1"/>
    <col min="27" max="27" width="19.83203125" bestFit="1" customWidth="1"/>
    <col min="28" max="28" width="23.5" bestFit="1" customWidth="1"/>
    <col min="29" max="29" width="33.6640625" bestFit="1" customWidth="1"/>
    <col min="30" max="30" width="30.83203125" bestFit="1" customWidth="1"/>
    <col min="31" max="31" width="32" bestFit="1" customWidth="1"/>
    <col min="32" max="32" width="27.1640625" bestFit="1" customWidth="1"/>
    <col min="33" max="33" width="29.5" bestFit="1" customWidth="1"/>
    <col min="34" max="34" width="20.1640625" bestFit="1" customWidth="1"/>
    <col min="35" max="35" width="40.1640625" bestFit="1" customWidth="1"/>
    <col min="36" max="36" width="44.5" bestFit="1" customWidth="1"/>
    <col min="37" max="37" width="32" bestFit="1" customWidth="1"/>
    <col min="38" max="38" width="21.6640625" bestFit="1" customWidth="1"/>
    <col min="39" max="40" width="26.6640625" bestFit="1" customWidth="1"/>
    <col min="41" max="41" width="24.1640625" bestFit="1" customWidth="1"/>
    <col min="42" max="42" width="34.33203125" bestFit="1" customWidth="1"/>
    <col min="43" max="43" width="32.5" bestFit="1" customWidth="1"/>
    <col min="44" max="44" width="42.33203125" bestFit="1" customWidth="1"/>
    <col min="45" max="45" width="20.33203125" bestFit="1" customWidth="1"/>
    <col min="46" max="46" width="34.33203125" bestFit="1" customWidth="1"/>
    <col min="47" max="47" width="34.5" bestFit="1" customWidth="1"/>
    <col min="48" max="49" width="20.33203125" bestFit="1" customWidth="1"/>
    <col min="50" max="50" width="42.33203125" bestFit="1" customWidth="1"/>
    <col min="51" max="51" width="16.5" bestFit="1" customWidth="1"/>
    <col min="52" max="52" width="24.83203125" bestFit="1" customWidth="1"/>
    <col min="53" max="53" width="35.1640625" bestFit="1" customWidth="1"/>
    <col min="54" max="55" width="28.1640625" bestFit="1" customWidth="1"/>
    <col min="56" max="56" width="26.5" bestFit="1" customWidth="1"/>
    <col min="57" max="57" width="26.6640625" bestFit="1" customWidth="1"/>
    <col min="58" max="58" width="19.5" bestFit="1" customWidth="1"/>
    <col min="59" max="59" width="37" bestFit="1" customWidth="1"/>
    <col min="60" max="60" width="24.5" bestFit="1" customWidth="1"/>
    <col min="61" max="61" width="27.33203125" bestFit="1" customWidth="1"/>
    <col min="62" max="62" width="15.33203125" bestFit="1" customWidth="1"/>
    <col min="63" max="63" width="16" bestFit="1" customWidth="1"/>
    <col min="64" max="64" width="15" bestFit="1" customWidth="1"/>
    <col min="65" max="65" width="23.5" bestFit="1" customWidth="1"/>
    <col min="66" max="66" width="14.5" bestFit="1" customWidth="1"/>
    <col min="67" max="67" width="20" bestFit="1" customWidth="1"/>
    <col min="68" max="68" width="20.33203125" bestFit="1" customWidth="1"/>
    <col min="69" max="69" width="19.5" bestFit="1" customWidth="1"/>
    <col min="70" max="71" width="14.5" bestFit="1" customWidth="1"/>
    <col min="72" max="72" width="13.83203125" bestFit="1" customWidth="1"/>
    <col min="73" max="73" width="16" bestFit="1" customWidth="1"/>
    <col min="74" max="74" width="24.5" bestFit="1" customWidth="1"/>
    <col min="75" max="75" width="24.33203125" bestFit="1" customWidth="1"/>
    <col min="76" max="76" width="24.5" bestFit="1" customWidth="1"/>
    <col min="77" max="77" width="24.1640625" bestFit="1" customWidth="1"/>
    <col min="78" max="78" width="15.5" bestFit="1" customWidth="1"/>
    <col min="80" max="81" width="10" bestFit="1" customWidth="1"/>
  </cols>
  <sheetData>
    <row r="1" spans="1:78" ht="15.75">
      <c r="A1" s="391" t="s">
        <v>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</row>
    <row r="2" spans="1:78" ht="15.75">
      <c r="A2" s="391" t="s">
        <v>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</row>
    <row r="3" spans="1:78" ht="18">
      <c r="A3" s="390" t="s">
        <v>2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J3" s="390"/>
      <c r="AK3" s="390"/>
      <c r="AL3" s="390"/>
      <c r="AM3" s="390"/>
      <c r="AN3" s="390"/>
      <c r="AO3" s="390"/>
      <c r="AP3" s="390"/>
      <c r="AQ3" s="390"/>
      <c r="AR3" s="390"/>
      <c r="AS3" s="390"/>
      <c r="AT3" s="390"/>
      <c r="AU3" s="390"/>
      <c r="AV3" s="390"/>
      <c r="AW3" s="390"/>
      <c r="AX3" s="390"/>
      <c r="AY3" s="390"/>
      <c r="AZ3" s="390"/>
      <c r="BA3" s="390"/>
      <c r="BB3" s="390"/>
      <c r="BC3" s="390"/>
      <c r="BD3" s="390"/>
      <c r="BE3" s="390"/>
      <c r="BF3" s="390"/>
      <c r="BG3" s="390"/>
      <c r="BH3" s="390"/>
      <c r="BI3" s="390"/>
      <c r="BJ3" s="390"/>
      <c r="BK3" s="390"/>
      <c r="BL3" s="390"/>
      <c r="BM3" s="390"/>
      <c r="BN3" s="390"/>
      <c r="BO3" s="390"/>
      <c r="BP3" s="390"/>
      <c r="BQ3" s="390"/>
      <c r="BR3" s="390"/>
      <c r="BS3" s="390"/>
      <c r="BT3" s="390"/>
      <c r="BU3" s="390"/>
      <c r="BV3" s="390"/>
      <c r="BW3" s="390"/>
      <c r="BX3" s="390"/>
      <c r="BY3" s="390"/>
      <c r="BZ3" s="390"/>
    </row>
    <row r="4" spans="1:78" ht="18">
      <c r="A4" s="390" t="s">
        <v>3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  <c r="AE4" s="390"/>
      <c r="AF4" s="390"/>
      <c r="AG4" s="390"/>
      <c r="AH4" s="390"/>
      <c r="AI4" s="390"/>
      <c r="AJ4" s="390"/>
      <c r="AK4" s="390"/>
      <c r="AL4" s="390"/>
      <c r="AM4" s="390"/>
      <c r="AN4" s="390"/>
      <c r="AO4" s="390"/>
      <c r="AP4" s="390"/>
      <c r="AQ4" s="390"/>
      <c r="AR4" s="390"/>
      <c r="AS4" s="390"/>
      <c r="AT4" s="390"/>
      <c r="AU4" s="390"/>
      <c r="AV4" s="390"/>
      <c r="AW4" s="390"/>
      <c r="AX4" s="390"/>
      <c r="AY4" s="390"/>
      <c r="AZ4" s="390"/>
      <c r="BA4" s="390"/>
      <c r="BB4" s="390"/>
      <c r="BC4" s="390"/>
      <c r="BD4" s="390"/>
      <c r="BE4" s="390"/>
      <c r="BF4" s="390"/>
      <c r="BG4" s="390"/>
      <c r="BH4" s="390"/>
      <c r="BI4" s="390"/>
      <c r="BJ4" s="390"/>
      <c r="BK4" s="390"/>
      <c r="BL4" s="390"/>
      <c r="BM4" s="390"/>
      <c r="BN4" s="390"/>
      <c r="BO4" s="390"/>
      <c r="BP4" s="390"/>
      <c r="BQ4" s="390"/>
      <c r="BR4" s="390"/>
      <c r="BS4" s="390"/>
      <c r="BT4" s="390"/>
      <c r="BU4" s="390"/>
      <c r="BV4" s="390"/>
      <c r="BW4" s="390"/>
      <c r="BX4" s="390"/>
      <c r="BY4" s="390"/>
      <c r="BZ4" s="390"/>
    </row>
    <row r="5" spans="1:78" ht="18">
      <c r="A5" s="390" t="s">
        <v>4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0"/>
      <c r="AG5" s="390"/>
      <c r="AH5" s="390"/>
      <c r="AI5" s="390"/>
      <c r="AJ5" s="390"/>
      <c r="AK5" s="390"/>
      <c r="AL5" s="390"/>
      <c r="AM5" s="390"/>
      <c r="AN5" s="390"/>
      <c r="AO5" s="390"/>
      <c r="AP5" s="390"/>
      <c r="AQ5" s="390"/>
      <c r="AR5" s="390"/>
      <c r="AS5" s="390"/>
      <c r="AT5" s="390"/>
      <c r="AU5" s="390"/>
      <c r="AV5" s="390"/>
      <c r="AW5" s="390"/>
      <c r="AX5" s="390"/>
      <c r="AY5" s="390"/>
      <c r="AZ5" s="390"/>
      <c r="BA5" s="390"/>
      <c r="BB5" s="390"/>
      <c r="BC5" s="390"/>
      <c r="BD5" s="390"/>
      <c r="BE5" s="390"/>
      <c r="BF5" s="390"/>
      <c r="BG5" s="390"/>
      <c r="BH5" s="390"/>
      <c r="BI5" s="390"/>
      <c r="BJ5" s="390"/>
      <c r="BK5" s="390"/>
      <c r="BL5" s="390"/>
      <c r="BM5" s="390"/>
      <c r="BN5" s="390"/>
      <c r="BO5" s="390"/>
      <c r="BP5" s="390"/>
      <c r="BQ5" s="390"/>
      <c r="BR5" s="390"/>
      <c r="BS5" s="390"/>
      <c r="BT5" s="390"/>
      <c r="BU5" s="390"/>
      <c r="BV5" s="390"/>
      <c r="BW5" s="390"/>
      <c r="BX5" s="390"/>
      <c r="BY5" s="390"/>
      <c r="BZ5" s="390"/>
    </row>
    <row r="6" spans="1:78" ht="18">
      <c r="A6" s="390" t="s">
        <v>5</v>
      </c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0"/>
      <c r="P6" s="390"/>
      <c r="Q6" s="390"/>
      <c r="R6" s="390"/>
      <c r="S6" s="390"/>
      <c r="T6" s="390"/>
      <c r="U6" s="390"/>
      <c r="V6" s="390"/>
      <c r="W6" s="390"/>
      <c r="X6" s="390"/>
      <c r="Y6" s="390"/>
      <c r="Z6" s="390"/>
      <c r="AA6" s="390"/>
      <c r="AB6" s="390"/>
      <c r="AC6" s="390"/>
      <c r="AD6" s="390"/>
      <c r="AE6" s="390"/>
      <c r="AF6" s="390"/>
      <c r="AG6" s="390"/>
      <c r="AH6" s="390"/>
      <c r="AI6" s="390"/>
      <c r="AJ6" s="390"/>
      <c r="AK6" s="390"/>
      <c r="AL6" s="390"/>
      <c r="AM6" s="390"/>
      <c r="AN6" s="390"/>
      <c r="AO6" s="390"/>
      <c r="AP6" s="390"/>
      <c r="AQ6" s="390"/>
      <c r="AR6" s="390"/>
      <c r="AS6" s="390"/>
      <c r="AT6" s="390"/>
      <c r="AU6" s="390"/>
      <c r="AV6" s="390"/>
      <c r="AW6" s="390"/>
      <c r="AX6" s="390"/>
      <c r="AY6" s="390"/>
      <c r="AZ6" s="390"/>
      <c r="BA6" s="390"/>
      <c r="BB6" s="390"/>
      <c r="BC6" s="390"/>
      <c r="BD6" s="390"/>
      <c r="BE6" s="390"/>
      <c r="BF6" s="390"/>
      <c r="BG6" s="390"/>
      <c r="BH6" s="390"/>
      <c r="BI6" s="390"/>
      <c r="BJ6" s="390"/>
      <c r="BK6" s="390"/>
      <c r="BL6" s="390"/>
      <c r="BM6" s="390"/>
      <c r="BN6" s="390"/>
      <c r="BO6" s="390"/>
      <c r="BP6" s="390"/>
      <c r="BQ6" s="390"/>
      <c r="BR6" s="390"/>
      <c r="BS6" s="390"/>
      <c r="BT6" s="390"/>
      <c r="BU6" s="390"/>
      <c r="BV6" s="390"/>
      <c r="BW6" s="390"/>
      <c r="BX6" s="390"/>
      <c r="BY6" s="390"/>
      <c r="BZ6" s="390"/>
    </row>
    <row r="7" spans="1:78">
      <c r="A7" s="1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  <c r="K7" s="2" t="s">
        <v>16</v>
      </c>
      <c r="L7" s="2" t="s">
        <v>17</v>
      </c>
      <c r="M7" s="2" t="s">
        <v>18</v>
      </c>
      <c r="N7" s="2" t="s">
        <v>19</v>
      </c>
      <c r="O7" s="2" t="s">
        <v>20</v>
      </c>
      <c r="P7" s="2" t="s">
        <v>21</v>
      </c>
      <c r="Q7" s="2" t="s">
        <v>22</v>
      </c>
      <c r="R7" s="2" t="s">
        <v>23</v>
      </c>
      <c r="S7" s="2" t="s">
        <v>24</v>
      </c>
      <c r="T7" s="2" t="s">
        <v>25</v>
      </c>
      <c r="U7" s="2" t="s">
        <v>26</v>
      </c>
      <c r="V7" s="2" t="s">
        <v>27</v>
      </c>
      <c r="W7" s="2" t="s">
        <v>28</v>
      </c>
      <c r="X7" s="2" t="s">
        <v>29</v>
      </c>
      <c r="Y7" s="2" t="s">
        <v>30</v>
      </c>
      <c r="Z7" s="2" t="s">
        <v>31</v>
      </c>
      <c r="AA7" s="2" t="s">
        <v>32</v>
      </c>
      <c r="AB7" s="2" t="s">
        <v>33</v>
      </c>
      <c r="AC7" s="2" t="s">
        <v>34</v>
      </c>
      <c r="AD7" s="2" t="s">
        <v>35</v>
      </c>
      <c r="AE7" s="2" t="s">
        <v>36</v>
      </c>
      <c r="AF7" s="2" t="s">
        <v>37</v>
      </c>
      <c r="AG7" s="2" t="s">
        <v>38</v>
      </c>
      <c r="AH7" s="2" t="s">
        <v>39</v>
      </c>
      <c r="AI7" s="2" t="s">
        <v>40</v>
      </c>
      <c r="AJ7" s="2" t="s">
        <v>41</v>
      </c>
      <c r="AK7" s="2" t="s">
        <v>42</v>
      </c>
      <c r="AL7" s="2" t="s">
        <v>43</v>
      </c>
      <c r="AM7" s="2" t="s">
        <v>44</v>
      </c>
      <c r="AN7" s="2" t="s">
        <v>45</v>
      </c>
      <c r="AO7" s="2" t="s">
        <v>46</v>
      </c>
      <c r="AP7" s="2" t="s">
        <v>47</v>
      </c>
      <c r="AQ7" s="2" t="s">
        <v>48</v>
      </c>
      <c r="AR7" s="2" t="s">
        <v>49</v>
      </c>
      <c r="AS7" s="2" t="s">
        <v>50</v>
      </c>
      <c r="AT7" s="2" t="s">
        <v>51</v>
      </c>
      <c r="AU7" s="2" t="s">
        <v>52</v>
      </c>
      <c r="AV7" s="2" t="s">
        <v>53</v>
      </c>
      <c r="AW7" s="2" t="s">
        <v>54</v>
      </c>
      <c r="AX7" s="2" t="s">
        <v>55</v>
      </c>
      <c r="AY7" s="2" t="s">
        <v>56</v>
      </c>
      <c r="AZ7" s="2" t="s">
        <v>57</v>
      </c>
      <c r="BA7" s="2" t="s">
        <v>58</v>
      </c>
      <c r="BB7" s="2" t="s">
        <v>59</v>
      </c>
      <c r="BC7" s="2" t="s">
        <v>60</v>
      </c>
      <c r="BD7" s="2" t="s">
        <v>61</v>
      </c>
      <c r="BE7" s="2" t="s">
        <v>62</v>
      </c>
      <c r="BF7" s="2" t="s">
        <v>63</v>
      </c>
      <c r="BG7" s="2" t="s">
        <v>64</v>
      </c>
      <c r="BH7" s="2" t="s">
        <v>65</v>
      </c>
      <c r="BI7" s="2" t="s">
        <v>66</v>
      </c>
      <c r="BJ7" s="2" t="s">
        <v>67</v>
      </c>
      <c r="BK7" s="2" t="s">
        <v>68</v>
      </c>
      <c r="BL7" s="2" t="s">
        <v>69</v>
      </c>
      <c r="BM7" s="2" t="s">
        <v>70</v>
      </c>
      <c r="BN7" s="2" t="s">
        <v>71</v>
      </c>
      <c r="BO7" s="2" t="s">
        <v>72</v>
      </c>
      <c r="BP7" s="2" t="s">
        <v>73</v>
      </c>
      <c r="BQ7" s="2" t="s">
        <v>74</v>
      </c>
      <c r="BR7" s="2" t="s">
        <v>75</v>
      </c>
      <c r="BS7" s="2" t="s">
        <v>76</v>
      </c>
      <c r="BT7" s="2" t="s">
        <v>77</v>
      </c>
      <c r="BU7" s="2" t="s">
        <v>78</v>
      </c>
      <c r="BV7" s="2" t="s">
        <v>79</v>
      </c>
      <c r="BW7" s="2" t="s">
        <v>80</v>
      </c>
      <c r="BX7" s="2" t="s">
        <v>81</v>
      </c>
      <c r="BY7" s="2" t="s">
        <v>82</v>
      </c>
      <c r="BZ7" s="2" t="s">
        <v>83</v>
      </c>
    </row>
    <row r="8" spans="1:78">
      <c r="A8" s="1" t="s">
        <v>84</v>
      </c>
      <c r="B8" s="2" t="s">
        <v>85</v>
      </c>
      <c r="C8" s="2" t="s">
        <v>85</v>
      </c>
      <c r="D8" s="2" t="s">
        <v>85</v>
      </c>
      <c r="E8" s="2" t="s">
        <v>85</v>
      </c>
      <c r="F8" s="2" t="s">
        <v>85</v>
      </c>
      <c r="G8" s="2" t="s">
        <v>85</v>
      </c>
      <c r="H8" s="2" t="s">
        <v>85</v>
      </c>
      <c r="I8" s="2" t="s">
        <v>85</v>
      </c>
      <c r="J8" s="2" t="s">
        <v>85</v>
      </c>
      <c r="K8" s="2" t="s">
        <v>85</v>
      </c>
      <c r="L8" s="2" t="s">
        <v>85</v>
      </c>
      <c r="M8" s="2" t="s">
        <v>85</v>
      </c>
      <c r="N8" s="2" t="s">
        <v>85</v>
      </c>
      <c r="O8" s="2" t="s">
        <v>85</v>
      </c>
      <c r="P8" s="2" t="s">
        <v>85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85</v>
      </c>
      <c r="Y8" s="2" t="s">
        <v>85</v>
      </c>
      <c r="Z8" s="2" t="s">
        <v>85</v>
      </c>
      <c r="AA8" s="2" t="s">
        <v>85</v>
      </c>
      <c r="AB8" s="2" t="s">
        <v>85</v>
      </c>
      <c r="AC8" s="2" t="s">
        <v>85</v>
      </c>
      <c r="AD8" s="2" t="s">
        <v>85</v>
      </c>
      <c r="AE8" s="2" t="s">
        <v>85</v>
      </c>
      <c r="AF8" s="2" t="s">
        <v>85</v>
      </c>
      <c r="AG8" s="2" t="s">
        <v>85</v>
      </c>
      <c r="AH8" s="2" t="s">
        <v>85</v>
      </c>
      <c r="AI8" s="2" t="s">
        <v>85</v>
      </c>
      <c r="AJ8" s="2" t="s">
        <v>85</v>
      </c>
      <c r="AK8" s="2" t="s">
        <v>85</v>
      </c>
      <c r="AL8" s="2" t="s">
        <v>85</v>
      </c>
      <c r="AM8" s="2" t="s">
        <v>85</v>
      </c>
      <c r="AN8" s="2" t="s">
        <v>85</v>
      </c>
      <c r="AO8" s="2" t="s">
        <v>85</v>
      </c>
      <c r="AP8" s="2" t="s">
        <v>85</v>
      </c>
      <c r="AQ8" s="2" t="s">
        <v>85</v>
      </c>
      <c r="AR8" s="2" t="s">
        <v>85</v>
      </c>
      <c r="AS8" s="2" t="s">
        <v>85</v>
      </c>
      <c r="AT8" s="2" t="s">
        <v>85</v>
      </c>
      <c r="AU8" s="2" t="s">
        <v>85</v>
      </c>
      <c r="AV8" s="2" t="s">
        <v>85</v>
      </c>
      <c r="AW8" s="2" t="s">
        <v>85</v>
      </c>
      <c r="AX8" s="2" t="s">
        <v>85</v>
      </c>
      <c r="AY8" s="2" t="s">
        <v>85</v>
      </c>
      <c r="AZ8" s="2" t="s">
        <v>85</v>
      </c>
      <c r="BA8" s="2" t="s">
        <v>85</v>
      </c>
      <c r="BB8" s="2" t="s">
        <v>85</v>
      </c>
      <c r="BC8" s="2" t="s">
        <v>85</v>
      </c>
      <c r="BD8" s="2" t="s">
        <v>85</v>
      </c>
      <c r="BE8" s="2" t="s">
        <v>85</v>
      </c>
      <c r="BF8" s="2" t="s">
        <v>85</v>
      </c>
      <c r="BG8" s="2" t="s">
        <v>85</v>
      </c>
      <c r="BH8" s="2" t="s">
        <v>85</v>
      </c>
      <c r="BI8" s="2" t="s">
        <v>85</v>
      </c>
      <c r="BJ8" s="2" t="s">
        <v>85</v>
      </c>
      <c r="BK8" s="2" t="s">
        <v>85</v>
      </c>
      <c r="BL8" s="2" t="s">
        <v>85</v>
      </c>
      <c r="BM8" s="2" t="s">
        <v>85</v>
      </c>
      <c r="BN8" s="2" t="s">
        <v>85</v>
      </c>
      <c r="BO8" s="2" t="s">
        <v>85</v>
      </c>
      <c r="BP8" s="2" t="s">
        <v>85</v>
      </c>
      <c r="BQ8" s="2" t="s">
        <v>85</v>
      </c>
      <c r="BR8" s="2" t="s">
        <v>85</v>
      </c>
      <c r="BS8" s="2" t="s">
        <v>85</v>
      </c>
      <c r="BT8" s="2" t="s">
        <v>85</v>
      </c>
      <c r="BU8" s="2" t="s">
        <v>85</v>
      </c>
      <c r="BV8" s="2" t="s">
        <v>85</v>
      </c>
      <c r="BW8" s="2" t="s">
        <v>85</v>
      </c>
      <c r="BX8" s="2" t="s">
        <v>85</v>
      </c>
      <c r="BY8" s="2" t="s">
        <v>85</v>
      </c>
      <c r="BZ8" s="2" t="s">
        <v>85</v>
      </c>
    </row>
    <row r="9" spans="1:78">
      <c r="A9" s="3" t="s">
        <v>86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</row>
    <row r="10" spans="1:78">
      <c r="A10" s="5" t="s">
        <v>87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</row>
    <row r="11" spans="1:78">
      <c r="A11" s="6" t="s">
        <v>88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</row>
    <row r="12" spans="1:78">
      <c r="A12" s="7" t="s">
        <v>89</v>
      </c>
      <c r="B12" s="8">
        <v>0</v>
      </c>
      <c r="C12" s="8">
        <v>391692.05</v>
      </c>
      <c r="D12" s="8">
        <v>131677.64000000001</v>
      </c>
      <c r="E12" s="8">
        <v>12940.66</v>
      </c>
      <c r="F12" s="8">
        <v>45002</v>
      </c>
      <c r="G12" s="8">
        <v>49645.96</v>
      </c>
      <c r="H12" s="8">
        <v>73160.95</v>
      </c>
      <c r="I12" s="8">
        <v>176984.62</v>
      </c>
      <c r="J12" s="8">
        <v>0</v>
      </c>
      <c r="K12" s="8">
        <v>0</v>
      </c>
      <c r="L12" s="8">
        <v>24209</v>
      </c>
      <c r="M12" s="8">
        <v>92403.36</v>
      </c>
      <c r="N12" s="8">
        <v>171799.93</v>
      </c>
      <c r="O12" s="8">
        <v>36122.300000000003</v>
      </c>
      <c r="P12" s="8">
        <v>0</v>
      </c>
      <c r="Q12" s="8">
        <v>0</v>
      </c>
      <c r="R12" s="8">
        <v>0</v>
      </c>
      <c r="S12" s="8">
        <v>11134</v>
      </c>
      <c r="T12" s="8">
        <v>0</v>
      </c>
      <c r="U12" s="8">
        <v>0</v>
      </c>
      <c r="V12" s="8">
        <v>0</v>
      </c>
      <c r="W12" s="8">
        <v>0</v>
      </c>
      <c r="X12" s="8">
        <v>54434.55</v>
      </c>
      <c r="Y12" s="8">
        <v>0</v>
      </c>
      <c r="Z12" s="8">
        <v>0</v>
      </c>
      <c r="AA12" s="8">
        <v>0</v>
      </c>
      <c r="AB12" s="8">
        <v>121584.26</v>
      </c>
      <c r="AC12" s="8">
        <v>0</v>
      </c>
      <c r="AD12" s="8">
        <v>137.91999999999999</v>
      </c>
      <c r="AE12" s="8">
        <v>0</v>
      </c>
      <c r="AF12" s="8">
        <v>1250867.6599999999</v>
      </c>
      <c r="AG12" s="8">
        <v>507822.63</v>
      </c>
      <c r="AH12" s="8">
        <v>0</v>
      </c>
      <c r="AI12" s="8">
        <v>17759.77</v>
      </c>
      <c r="AJ12" s="8">
        <v>40700</v>
      </c>
      <c r="AK12" s="8">
        <v>31061.759999999998</v>
      </c>
      <c r="AL12" s="8">
        <v>189423.08</v>
      </c>
      <c r="AM12" s="8">
        <v>0</v>
      </c>
      <c r="AN12" s="8">
        <v>37031.120000000003</v>
      </c>
      <c r="AO12" s="8">
        <v>0</v>
      </c>
      <c r="AP12" s="8">
        <v>0</v>
      </c>
      <c r="AQ12" s="8">
        <v>0</v>
      </c>
      <c r="AR12" s="8">
        <v>790.84</v>
      </c>
      <c r="AS12" s="8">
        <v>3907.68</v>
      </c>
      <c r="AT12" s="8">
        <v>0</v>
      </c>
      <c r="AU12" s="8">
        <v>0</v>
      </c>
      <c r="AV12" s="8">
        <v>27977.35</v>
      </c>
      <c r="AW12" s="8">
        <v>0</v>
      </c>
      <c r="AX12" s="8">
        <v>1000.19</v>
      </c>
      <c r="AY12" s="8">
        <v>0</v>
      </c>
      <c r="AZ12" s="8">
        <v>0</v>
      </c>
      <c r="BA12" s="8">
        <v>0</v>
      </c>
      <c r="BB12" s="8">
        <v>8901.5</v>
      </c>
      <c r="BC12" s="8">
        <v>4760.8100000000004</v>
      </c>
      <c r="BD12" s="8">
        <v>4333.74</v>
      </c>
      <c r="BE12" s="8">
        <v>61819.38</v>
      </c>
      <c r="BF12" s="8">
        <v>0</v>
      </c>
      <c r="BG12" s="8">
        <v>0</v>
      </c>
      <c r="BH12" s="8">
        <v>0</v>
      </c>
      <c r="BI12" s="8">
        <v>631981.92000000004</v>
      </c>
      <c r="BJ12" s="8">
        <v>439689.91</v>
      </c>
      <c r="BK12" s="8">
        <v>1242967.8700000001</v>
      </c>
      <c r="BL12" s="8">
        <v>17449.98</v>
      </c>
      <c r="BM12" s="8">
        <v>320690.63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231365.52</v>
      </c>
      <c r="BV12" s="8">
        <v>115339.27</v>
      </c>
      <c r="BW12" s="8">
        <v>412337.41</v>
      </c>
      <c r="BX12" s="8">
        <v>413899.61</v>
      </c>
      <c r="BY12" s="8">
        <v>264267.76</v>
      </c>
      <c r="BZ12" s="8">
        <f>SUM(B12:BY12)</f>
        <v>7671076.5899999999</v>
      </c>
    </row>
    <row r="13" spans="1:78">
      <c r="A13" s="7" t="s">
        <v>90</v>
      </c>
      <c r="B13" s="8">
        <v>0</v>
      </c>
      <c r="C13" s="8">
        <v>13845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307852.5</v>
      </c>
      <c r="K13" s="8">
        <v>143467.57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42199.85</v>
      </c>
      <c r="V13" s="8">
        <v>34035.5</v>
      </c>
      <c r="W13" s="8">
        <v>39000.99</v>
      </c>
      <c r="X13" s="8">
        <v>54434.559999999998</v>
      </c>
      <c r="Y13" s="8">
        <v>33792</v>
      </c>
      <c r="Z13" s="8">
        <v>65245</v>
      </c>
      <c r="AA13" s="8">
        <v>28700</v>
      </c>
      <c r="AB13" s="8">
        <v>121584.26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927498.82</v>
      </c>
      <c r="AV13" s="8">
        <v>0</v>
      </c>
      <c r="AW13" s="8">
        <v>32910</v>
      </c>
      <c r="AX13" s="8">
        <v>0</v>
      </c>
      <c r="AY13" s="8">
        <v>156348.82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462297</v>
      </c>
      <c r="BO13" s="8">
        <v>72745</v>
      </c>
      <c r="BP13" s="8">
        <v>350311</v>
      </c>
      <c r="BQ13" s="88">
        <f>183842.67</f>
        <v>183842.67</v>
      </c>
      <c r="BR13" s="8">
        <v>2555227.46</v>
      </c>
      <c r="BS13" s="8">
        <v>4255674.62</v>
      </c>
      <c r="BT13" s="8">
        <v>368682.89</v>
      </c>
      <c r="BU13" s="8">
        <v>0</v>
      </c>
      <c r="BV13" s="8">
        <v>0</v>
      </c>
      <c r="BW13" s="8">
        <v>0</v>
      </c>
      <c r="BX13" s="8">
        <v>0</v>
      </c>
      <c r="BY13" s="8">
        <v>0</v>
      </c>
      <c r="BZ13" s="8">
        <f>SUM(B13:BY13)</f>
        <v>10249695.510000002</v>
      </c>
    </row>
    <row r="14" spans="1:78">
      <c r="A14" s="7" t="s">
        <v>91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21464.63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89692.2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>
        <f>SUM(B14:BY14)</f>
        <v>111156.83</v>
      </c>
    </row>
    <row r="15" spans="1:78">
      <c r="A15" s="7" t="s">
        <v>92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285674</v>
      </c>
      <c r="AG15" s="8">
        <v>110759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0</v>
      </c>
      <c r="BV15" s="8">
        <v>0</v>
      </c>
      <c r="BW15" s="8">
        <v>0</v>
      </c>
      <c r="BX15" s="8">
        <v>0</v>
      </c>
      <c r="BY15" s="8">
        <v>0</v>
      </c>
      <c r="BZ15" s="8">
        <f>SUM(B15:BY15)</f>
        <v>396433</v>
      </c>
    </row>
    <row r="16" spans="1:78">
      <c r="A16" s="7" t="s">
        <v>93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14530</v>
      </c>
      <c r="AG16" s="8">
        <v>3884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f>SUM(B16:BY16)</f>
        <v>18414</v>
      </c>
    </row>
    <row r="17" spans="1:78">
      <c r="A17" s="9" t="s">
        <v>94</v>
      </c>
      <c r="B17" s="10">
        <f t="shared" ref="B17:BM17" si="0">SUM(B12:B16)</f>
        <v>0</v>
      </c>
      <c r="C17" s="10">
        <f t="shared" si="0"/>
        <v>405537.05</v>
      </c>
      <c r="D17" s="10">
        <f t="shared" si="0"/>
        <v>131677.64000000001</v>
      </c>
      <c r="E17" s="10">
        <f t="shared" si="0"/>
        <v>12940.66</v>
      </c>
      <c r="F17" s="10">
        <f t="shared" si="0"/>
        <v>45002</v>
      </c>
      <c r="G17" s="10">
        <f t="shared" si="0"/>
        <v>49645.96</v>
      </c>
      <c r="H17" s="10">
        <f t="shared" si="0"/>
        <v>73160.95</v>
      </c>
      <c r="I17" s="10">
        <f t="shared" si="0"/>
        <v>176984.62</v>
      </c>
      <c r="J17" s="10">
        <f t="shared" si="0"/>
        <v>307852.5</v>
      </c>
      <c r="K17" s="10">
        <f t="shared" si="0"/>
        <v>143467.57</v>
      </c>
      <c r="L17" s="10">
        <f t="shared" si="0"/>
        <v>24209</v>
      </c>
      <c r="M17" s="10">
        <f t="shared" si="0"/>
        <v>92403.36</v>
      </c>
      <c r="N17" s="10">
        <f t="shared" si="0"/>
        <v>171799.93</v>
      </c>
      <c r="O17" s="10">
        <f t="shared" si="0"/>
        <v>36122.300000000003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11134</v>
      </c>
      <c r="T17" s="10">
        <f t="shared" si="0"/>
        <v>0</v>
      </c>
      <c r="U17" s="10">
        <f t="shared" si="0"/>
        <v>42199.85</v>
      </c>
      <c r="V17" s="10">
        <f t="shared" si="0"/>
        <v>34035.5</v>
      </c>
      <c r="W17" s="10">
        <f t="shared" si="0"/>
        <v>39000.99</v>
      </c>
      <c r="X17" s="10">
        <f t="shared" si="0"/>
        <v>108869.11</v>
      </c>
      <c r="Y17" s="10">
        <f t="shared" si="0"/>
        <v>33792</v>
      </c>
      <c r="Z17" s="10">
        <f t="shared" si="0"/>
        <v>65245</v>
      </c>
      <c r="AA17" s="10">
        <f t="shared" si="0"/>
        <v>28700</v>
      </c>
      <c r="AB17" s="10">
        <f t="shared" si="0"/>
        <v>243168.52</v>
      </c>
      <c r="AC17" s="10">
        <f t="shared" si="0"/>
        <v>0</v>
      </c>
      <c r="AD17" s="10">
        <f t="shared" si="0"/>
        <v>137.91999999999999</v>
      </c>
      <c r="AE17" s="10">
        <f t="shared" si="0"/>
        <v>0</v>
      </c>
      <c r="AF17" s="10">
        <f t="shared" si="0"/>
        <v>1551071.66</v>
      </c>
      <c r="AG17" s="10">
        <f t="shared" si="0"/>
        <v>622465.63</v>
      </c>
      <c r="AH17" s="10">
        <f t="shared" si="0"/>
        <v>21464.63</v>
      </c>
      <c r="AI17" s="10">
        <f t="shared" si="0"/>
        <v>17759.77</v>
      </c>
      <c r="AJ17" s="10">
        <f t="shared" si="0"/>
        <v>40700</v>
      </c>
      <c r="AK17" s="10">
        <f t="shared" si="0"/>
        <v>31061.759999999998</v>
      </c>
      <c r="AL17" s="10">
        <f t="shared" si="0"/>
        <v>189423.08</v>
      </c>
      <c r="AM17" s="10">
        <f t="shared" si="0"/>
        <v>0</v>
      </c>
      <c r="AN17" s="10">
        <f t="shared" si="0"/>
        <v>37031.120000000003</v>
      </c>
      <c r="AO17" s="10">
        <f t="shared" si="0"/>
        <v>0</v>
      </c>
      <c r="AP17" s="10">
        <f t="shared" si="0"/>
        <v>0</v>
      </c>
      <c r="AQ17" s="10">
        <f t="shared" si="0"/>
        <v>0</v>
      </c>
      <c r="AR17" s="10">
        <f t="shared" si="0"/>
        <v>790.84</v>
      </c>
      <c r="AS17" s="10">
        <f t="shared" si="0"/>
        <v>3907.68</v>
      </c>
      <c r="AT17" s="10">
        <f t="shared" si="0"/>
        <v>0</v>
      </c>
      <c r="AU17" s="10">
        <f t="shared" si="0"/>
        <v>927498.82</v>
      </c>
      <c r="AV17" s="10">
        <f t="shared" si="0"/>
        <v>27977.35</v>
      </c>
      <c r="AW17" s="10">
        <f t="shared" si="0"/>
        <v>32910</v>
      </c>
      <c r="AX17" s="10">
        <f t="shared" si="0"/>
        <v>1000.19</v>
      </c>
      <c r="AY17" s="10">
        <f t="shared" si="0"/>
        <v>156348.82</v>
      </c>
      <c r="AZ17" s="10">
        <f t="shared" si="0"/>
        <v>0</v>
      </c>
      <c r="BA17" s="10">
        <f t="shared" si="0"/>
        <v>0</v>
      </c>
      <c r="BB17" s="10">
        <f t="shared" si="0"/>
        <v>8901.5</v>
      </c>
      <c r="BC17" s="10">
        <f t="shared" si="0"/>
        <v>4760.8100000000004</v>
      </c>
      <c r="BD17" s="10">
        <f t="shared" si="0"/>
        <v>4333.74</v>
      </c>
      <c r="BE17" s="10">
        <f t="shared" si="0"/>
        <v>61819.38</v>
      </c>
      <c r="BF17" s="10">
        <f t="shared" si="0"/>
        <v>89692.2</v>
      </c>
      <c r="BG17" s="10">
        <f t="shared" si="0"/>
        <v>0</v>
      </c>
      <c r="BH17" s="10">
        <f t="shared" si="0"/>
        <v>0</v>
      </c>
      <c r="BI17" s="10">
        <f t="shared" si="0"/>
        <v>631981.92000000004</v>
      </c>
      <c r="BJ17" s="10">
        <f t="shared" si="0"/>
        <v>439689.91</v>
      </c>
      <c r="BK17" s="10">
        <f t="shared" si="0"/>
        <v>1242967.8700000001</v>
      </c>
      <c r="BL17" s="10">
        <f t="shared" si="0"/>
        <v>17449.98</v>
      </c>
      <c r="BM17" s="10">
        <f t="shared" si="0"/>
        <v>320690.63</v>
      </c>
      <c r="BN17" s="10">
        <f t="shared" ref="BN17:BZ17" si="1">SUM(BN12:BN16)</f>
        <v>462297</v>
      </c>
      <c r="BO17" s="10">
        <f t="shared" si="1"/>
        <v>72745</v>
      </c>
      <c r="BP17" s="10">
        <f t="shared" si="1"/>
        <v>350311</v>
      </c>
      <c r="BQ17" s="10">
        <f t="shared" si="1"/>
        <v>183842.67</v>
      </c>
      <c r="BR17" s="10">
        <f t="shared" si="1"/>
        <v>2555227.46</v>
      </c>
      <c r="BS17" s="10">
        <f t="shared" si="1"/>
        <v>4255674.62</v>
      </c>
      <c r="BT17" s="10">
        <f t="shared" si="1"/>
        <v>368682.89</v>
      </c>
      <c r="BU17" s="10">
        <f t="shared" si="1"/>
        <v>231365.52</v>
      </c>
      <c r="BV17" s="10">
        <f t="shared" si="1"/>
        <v>115339.27</v>
      </c>
      <c r="BW17" s="10">
        <f t="shared" si="1"/>
        <v>412337.41</v>
      </c>
      <c r="BX17" s="10">
        <f t="shared" si="1"/>
        <v>413899.61</v>
      </c>
      <c r="BY17" s="10">
        <f t="shared" si="1"/>
        <v>264267.76</v>
      </c>
      <c r="BZ17" s="10">
        <f t="shared" si="1"/>
        <v>18446775.93</v>
      </c>
    </row>
    <row r="18" spans="1:78">
      <c r="A18" s="6" t="s">
        <v>95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</row>
    <row r="19" spans="1:78">
      <c r="A19" s="7" t="s">
        <v>96</v>
      </c>
      <c r="B19" s="8">
        <v>0</v>
      </c>
      <c r="C19" s="8">
        <v>0</v>
      </c>
      <c r="D19" s="8">
        <v>0</v>
      </c>
      <c r="E19" s="8">
        <v>300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10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3650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1950</v>
      </c>
      <c r="AR19" s="8">
        <v>0</v>
      </c>
      <c r="AS19" s="8">
        <v>0</v>
      </c>
      <c r="AT19" s="8">
        <v>0</v>
      </c>
      <c r="AU19" s="8">
        <v>0</v>
      </c>
      <c r="AV19" s="8">
        <v>33000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0</v>
      </c>
      <c r="BN19" s="8">
        <v>0</v>
      </c>
      <c r="BO19" s="8">
        <v>0</v>
      </c>
      <c r="BP19" s="8">
        <v>0</v>
      </c>
      <c r="BQ19" s="8">
        <v>0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0</v>
      </c>
      <c r="BZ19" s="8">
        <f>SUM(B19:BY19)</f>
        <v>38910</v>
      </c>
    </row>
    <row r="20" spans="1:78">
      <c r="A20" s="7" t="s">
        <v>97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1250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0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0</v>
      </c>
      <c r="BY20" s="8">
        <v>0</v>
      </c>
      <c r="BZ20" s="8">
        <f>SUM(B20:BY20)</f>
        <v>1250</v>
      </c>
    </row>
    <row r="21" spans="1:78">
      <c r="A21" s="7" t="s">
        <v>98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80907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f>SUM(B21:BY21)</f>
        <v>80907</v>
      </c>
    </row>
    <row r="22" spans="1:78">
      <c r="A22" s="9" t="s">
        <v>99</v>
      </c>
      <c r="B22" s="10">
        <f t="shared" ref="B22:BM22" si="2">SUM(B19:B21)</f>
        <v>0</v>
      </c>
      <c r="C22" s="10">
        <f t="shared" si="2"/>
        <v>0</v>
      </c>
      <c r="D22" s="10">
        <f t="shared" si="2"/>
        <v>0</v>
      </c>
      <c r="E22" s="10">
        <f t="shared" si="2"/>
        <v>300</v>
      </c>
      <c r="F22" s="10">
        <f t="shared" si="2"/>
        <v>0</v>
      </c>
      <c r="G22" s="10">
        <f t="shared" si="2"/>
        <v>0</v>
      </c>
      <c r="H22" s="10">
        <f t="shared" si="2"/>
        <v>0</v>
      </c>
      <c r="I22" s="10">
        <f t="shared" si="2"/>
        <v>0</v>
      </c>
      <c r="J22" s="10">
        <f t="shared" si="2"/>
        <v>0</v>
      </c>
      <c r="K22" s="10">
        <f t="shared" si="2"/>
        <v>0</v>
      </c>
      <c r="L22" s="10">
        <f t="shared" si="2"/>
        <v>0</v>
      </c>
      <c r="M22" s="10">
        <f t="shared" si="2"/>
        <v>0</v>
      </c>
      <c r="N22" s="10">
        <f t="shared" si="2"/>
        <v>10</v>
      </c>
      <c r="O22" s="10">
        <f t="shared" si="2"/>
        <v>0</v>
      </c>
      <c r="P22" s="10">
        <f t="shared" si="2"/>
        <v>0</v>
      </c>
      <c r="Q22" s="10">
        <f t="shared" si="2"/>
        <v>0</v>
      </c>
      <c r="R22" s="10">
        <f t="shared" si="2"/>
        <v>0</v>
      </c>
      <c r="S22" s="10">
        <f t="shared" si="2"/>
        <v>0</v>
      </c>
      <c r="T22" s="10">
        <f t="shared" si="2"/>
        <v>0</v>
      </c>
      <c r="U22" s="10">
        <f t="shared" si="2"/>
        <v>0</v>
      </c>
      <c r="V22" s="10">
        <f t="shared" si="2"/>
        <v>0</v>
      </c>
      <c r="W22" s="10">
        <f t="shared" si="2"/>
        <v>0</v>
      </c>
      <c r="X22" s="10">
        <f t="shared" si="2"/>
        <v>0</v>
      </c>
      <c r="Y22" s="10">
        <f t="shared" si="2"/>
        <v>0</v>
      </c>
      <c r="Z22" s="10">
        <f t="shared" si="2"/>
        <v>0</v>
      </c>
      <c r="AA22" s="10">
        <f t="shared" si="2"/>
        <v>0</v>
      </c>
      <c r="AB22" s="10">
        <f t="shared" si="2"/>
        <v>0</v>
      </c>
      <c r="AC22" s="10">
        <f t="shared" si="2"/>
        <v>0</v>
      </c>
      <c r="AD22" s="10">
        <f t="shared" si="2"/>
        <v>0</v>
      </c>
      <c r="AE22" s="10">
        <f t="shared" si="2"/>
        <v>3650</v>
      </c>
      <c r="AF22" s="10">
        <f t="shared" si="2"/>
        <v>0</v>
      </c>
      <c r="AG22" s="10">
        <f t="shared" si="2"/>
        <v>0</v>
      </c>
      <c r="AH22" s="10">
        <f t="shared" si="2"/>
        <v>0</v>
      </c>
      <c r="AI22" s="10">
        <f t="shared" si="2"/>
        <v>0</v>
      </c>
      <c r="AJ22" s="10">
        <f t="shared" si="2"/>
        <v>0</v>
      </c>
      <c r="AK22" s="10">
        <f t="shared" si="2"/>
        <v>0</v>
      </c>
      <c r="AL22" s="10">
        <f t="shared" si="2"/>
        <v>0</v>
      </c>
      <c r="AM22" s="10">
        <f t="shared" si="2"/>
        <v>0</v>
      </c>
      <c r="AN22" s="10">
        <f t="shared" si="2"/>
        <v>0</v>
      </c>
      <c r="AO22" s="10">
        <f t="shared" si="2"/>
        <v>0</v>
      </c>
      <c r="AP22" s="10">
        <f t="shared" si="2"/>
        <v>0</v>
      </c>
      <c r="AQ22" s="10">
        <f t="shared" si="2"/>
        <v>84107</v>
      </c>
      <c r="AR22" s="10">
        <f t="shared" si="2"/>
        <v>0</v>
      </c>
      <c r="AS22" s="10">
        <f t="shared" si="2"/>
        <v>0</v>
      </c>
      <c r="AT22" s="10">
        <f t="shared" si="2"/>
        <v>0</v>
      </c>
      <c r="AU22" s="10">
        <f t="shared" si="2"/>
        <v>0</v>
      </c>
      <c r="AV22" s="10">
        <f t="shared" si="2"/>
        <v>33000</v>
      </c>
      <c r="AW22" s="10">
        <f t="shared" si="2"/>
        <v>0</v>
      </c>
      <c r="AX22" s="10">
        <f t="shared" si="2"/>
        <v>0</v>
      </c>
      <c r="AY22" s="10">
        <f t="shared" si="2"/>
        <v>0</v>
      </c>
      <c r="AZ22" s="10">
        <f t="shared" si="2"/>
        <v>0</v>
      </c>
      <c r="BA22" s="10">
        <f t="shared" si="2"/>
        <v>0</v>
      </c>
      <c r="BB22" s="10">
        <f t="shared" si="2"/>
        <v>0</v>
      </c>
      <c r="BC22" s="10">
        <f t="shared" si="2"/>
        <v>0</v>
      </c>
      <c r="BD22" s="10">
        <f t="shared" si="2"/>
        <v>0</v>
      </c>
      <c r="BE22" s="10">
        <f t="shared" si="2"/>
        <v>0</v>
      </c>
      <c r="BF22" s="10">
        <f t="shared" si="2"/>
        <v>0</v>
      </c>
      <c r="BG22" s="10">
        <f t="shared" si="2"/>
        <v>0</v>
      </c>
      <c r="BH22" s="10">
        <f t="shared" si="2"/>
        <v>0</v>
      </c>
      <c r="BI22" s="10">
        <f t="shared" si="2"/>
        <v>0</v>
      </c>
      <c r="BJ22" s="10">
        <f t="shared" si="2"/>
        <v>0</v>
      </c>
      <c r="BK22" s="10">
        <f t="shared" si="2"/>
        <v>0</v>
      </c>
      <c r="BL22" s="10">
        <f t="shared" si="2"/>
        <v>0</v>
      </c>
      <c r="BM22" s="10">
        <f t="shared" si="2"/>
        <v>0</v>
      </c>
      <c r="BN22" s="10">
        <f t="shared" ref="BN22:BZ22" si="3">SUM(BN19:BN21)</f>
        <v>0</v>
      </c>
      <c r="BO22" s="10">
        <f t="shared" si="3"/>
        <v>0</v>
      </c>
      <c r="BP22" s="10">
        <f t="shared" si="3"/>
        <v>0</v>
      </c>
      <c r="BQ22" s="10">
        <f t="shared" si="3"/>
        <v>0</v>
      </c>
      <c r="BR22" s="10">
        <f t="shared" si="3"/>
        <v>0</v>
      </c>
      <c r="BS22" s="10">
        <f t="shared" si="3"/>
        <v>0</v>
      </c>
      <c r="BT22" s="10">
        <f t="shared" si="3"/>
        <v>0</v>
      </c>
      <c r="BU22" s="10">
        <f t="shared" si="3"/>
        <v>0</v>
      </c>
      <c r="BV22" s="10">
        <f t="shared" si="3"/>
        <v>0</v>
      </c>
      <c r="BW22" s="10">
        <f t="shared" si="3"/>
        <v>0</v>
      </c>
      <c r="BX22" s="10">
        <f t="shared" si="3"/>
        <v>0</v>
      </c>
      <c r="BY22" s="10">
        <f t="shared" si="3"/>
        <v>0</v>
      </c>
      <c r="BZ22" s="10">
        <f t="shared" si="3"/>
        <v>121067</v>
      </c>
    </row>
    <row r="23" spans="1:78">
      <c r="A23" s="11" t="s">
        <v>100</v>
      </c>
      <c r="B23" s="8">
        <v>0</v>
      </c>
      <c r="C23" s="8">
        <v>157958.49</v>
      </c>
      <c r="D23" s="8">
        <v>64526</v>
      </c>
      <c r="E23" s="8">
        <v>9724</v>
      </c>
      <c r="F23" s="8">
        <v>12457</v>
      </c>
      <c r="G23" s="8">
        <v>7259</v>
      </c>
      <c r="H23" s="8">
        <v>19514</v>
      </c>
      <c r="I23" s="8">
        <v>30299</v>
      </c>
      <c r="J23" s="8">
        <v>31764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1334</v>
      </c>
      <c r="AD23" s="8">
        <v>556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921</v>
      </c>
      <c r="AT23" s="8">
        <v>0</v>
      </c>
      <c r="AU23" s="8">
        <v>0</v>
      </c>
      <c r="AV23" s="8">
        <v>13778</v>
      </c>
      <c r="AW23" s="8">
        <v>0</v>
      </c>
      <c r="AX23" s="8">
        <v>0</v>
      </c>
      <c r="AY23" s="8">
        <v>14845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0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0</v>
      </c>
      <c r="BX23" s="8">
        <v>0</v>
      </c>
      <c r="BY23" s="8">
        <v>0</v>
      </c>
      <c r="BZ23" s="8">
        <f>SUM(B23:BY23)</f>
        <v>364935.49</v>
      </c>
    </row>
    <row r="24" spans="1:78">
      <c r="A24" s="6" t="s">
        <v>101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</row>
    <row r="25" spans="1:78">
      <c r="A25" s="7" t="s">
        <v>102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6759.79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f>SUM(B25:BY25)</f>
        <v>6759.79</v>
      </c>
    </row>
    <row r="26" spans="1:78">
      <c r="A26" s="7" t="s">
        <v>103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26688.23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8">
        <v>0</v>
      </c>
      <c r="BL26" s="8">
        <v>0</v>
      </c>
      <c r="BM26" s="8">
        <v>0</v>
      </c>
      <c r="BN26" s="8">
        <v>0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f>SUM(B26:BY26)</f>
        <v>26688.23</v>
      </c>
    </row>
    <row r="27" spans="1:78">
      <c r="A27" s="7" t="s">
        <v>104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20793.48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0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0</v>
      </c>
      <c r="BY27" s="8">
        <v>0</v>
      </c>
      <c r="BZ27" s="8">
        <f>SUM(B27:BY27)</f>
        <v>20793.48</v>
      </c>
    </row>
    <row r="28" spans="1:78">
      <c r="A28" s="9" t="s">
        <v>105</v>
      </c>
      <c r="B28" s="10">
        <f t="shared" ref="B28:BM28" si="4">SUM(B25:B27)</f>
        <v>0</v>
      </c>
      <c r="C28" s="10">
        <f t="shared" si="4"/>
        <v>0</v>
      </c>
      <c r="D28" s="10">
        <f t="shared" si="4"/>
        <v>0</v>
      </c>
      <c r="E28" s="10">
        <f t="shared" si="4"/>
        <v>0</v>
      </c>
      <c r="F28" s="10">
        <f t="shared" si="4"/>
        <v>0</v>
      </c>
      <c r="G28" s="10">
        <f t="shared" si="4"/>
        <v>0</v>
      </c>
      <c r="H28" s="10">
        <f t="shared" si="4"/>
        <v>0</v>
      </c>
      <c r="I28" s="10">
        <f t="shared" si="4"/>
        <v>0</v>
      </c>
      <c r="J28" s="10">
        <f t="shared" si="4"/>
        <v>0</v>
      </c>
      <c r="K28" s="10">
        <f t="shared" si="4"/>
        <v>0</v>
      </c>
      <c r="L28" s="10">
        <f t="shared" si="4"/>
        <v>0</v>
      </c>
      <c r="M28" s="10">
        <f t="shared" si="4"/>
        <v>0</v>
      </c>
      <c r="N28" s="10">
        <f t="shared" si="4"/>
        <v>0</v>
      </c>
      <c r="O28" s="10">
        <f t="shared" si="4"/>
        <v>0</v>
      </c>
      <c r="P28" s="10">
        <f t="shared" si="4"/>
        <v>0</v>
      </c>
      <c r="Q28" s="10">
        <f t="shared" si="4"/>
        <v>0</v>
      </c>
      <c r="R28" s="10">
        <f t="shared" si="4"/>
        <v>0</v>
      </c>
      <c r="S28" s="10">
        <f t="shared" si="4"/>
        <v>0</v>
      </c>
      <c r="T28" s="10">
        <f t="shared" si="4"/>
        <v>0</v>
      </c>
      <c r="U28" s="10">
        <f t="shared" si="4"/>
        <v>0</v>
      </c>
      <c r="V28" s="10">
        <f t="shared" si="4"/>
        <v>0</v>
      </c>
      <c r="W28" s="10">
        <f t="shared" si="4"/>
        <v>0</v>
      </c>
      <c r="X28" s="10">
        <f t="shared" si="4"/>
        <v>0</v>
      </c>
      <c r="Y28" s="10">
        <f t="shared" si="4"/>
        <v>0</v>
      </c>
      <c r="Z28" s="10">
        <f t="shared" si="4"/>
        <v>0</v>
      </c>
      <c r="AA28" s="10">
        <f t="shared" si="4"/>
        <v>0</v>
      </c>
      <c r="AB28" s="10">
        <f t="shared" si="4"/>
        <v>0</v>
      </c>
      <c r="AC28" s="10">
        <f t="shared" si="4"/>
        <v>0</v>
      </c>
      <c r="AD28" s="10">
        <f t="shared" si="4"/>
        <v>0</v>
      </c>
      <c r="AE28" s="10">
        <f t="shared" si="4"/>
        <v>0</v>
      </c>
      <c r="AF28" s="10">
        <f t="shared" si="4"/>
        <v>0</v>
      </c>
      <c r="AG28" s="10">
        <f t="shared" si="4"/>
        <v>0</v>
      </c>
      <c r="AH28" s="10">
        <f t="shared" si="4"/>
        <v>0</v>
      </c>
      <c r="AI28" s="10">
        <f t="shared" si="4"/>
        <v>0</v>
      </c>
      <c r="AJ28" s="10">
        <f t="shared" si="4"/>
        <v>0</v>
      </c>
      <c r="AK28" s="10">
        <f t="shared" si="4"/>
        <v>0</v>
      </c>
      <c r="AL28" s="10">
        <f t="shared" si="4"/>
        <v>0</v>
      </c>
      <c r="AM28" s="10">
        <f t="shared" si="4"/>
        <v>0</v>
      </c>
      <c r="AN28" s="10">
        <f t="shared" si="4"/>
        <v>0</v>
      </c>
      <c r="AO28" s="10">
        <f t="shared" si="4"/>
        <v>0</v>
      </c>
      <c r="AP28" s="10">
        <f t="shared" si="4"/>
        <v>0</v>
      </c>
      <c r="AQ28" s="10">
        <f t="shared" si="4"/>
        <v>0</v>
      </c>
      <c r="AR28" s="10">
        <f t="shared" si="4"/>
        <v>0</v>
      </c>
      <c r="AS28" s="10">
        <f t="shared" si="4"/>
        <v>0</v>
      </c>
      <c r="AT28" s="10">
        <f t="shared" si="4"/>
        <v>0</v>
      </c>
      <c r="AU28" s="10">
        <f t="shared" si="4"/>
        <v>0</v>
      </c>
      <c r="AV28" s="10">
        <f t="shared" si="4"/>
        <v>0</v>
      </c>
      <c r="AW28" s="10">
        <f t="shared" si="4"/>
        <v>0</v>
      </c>
      <c r="AX28" s="10">
        <f t="shared" si="4"/>
        <v>0</v>
      </c>
      <c r="AY28" s="10">
        <f t="shared" si="4"/>
        <v>0</v>
      </c>
      <c r="AZ28" s="10">
        <f t="shared" si="4"/>
        <v>0</v>
      </c>
      <c r="BA28" s="10">
        <f t="shared" si="4"/>
        <v>54241.5</v>
      </c>
      <c r="BB28" s="10">
        <f t="shared" si="4"/>
        <v>0</v>
      </c>
      <c r="BC28" s="10">
        <f t="shared" si="4"/>
        <v>0</v>
      </c>
      <c r="BD28" s="10">
        <f t="shared" si="4"/>
        <v>0</v>
      </c>
      <c r="BE28" s="10">
        <f t="shared" si="4"/>
        <v>0</v>
      </c>
      <c r="BF28" s="10">
        <f t="shared" si="4"/>
        <v>0</v>
      </c>
      <c r="BG28" s="10">
        <f t="shared" si="4"/>
        <v>0</v>
      </c>
      <c r="BH28" s="10">
        <f t="shared" si="4"/>
        <v>0</v>
      </c>
      <c r="BI28" s="10">
        <f t="shared" si="4"/>
        <v>0</v>
      </c>
      <c r="BJ28" s="10">
        <f t="shared" si="4"/>
        <v>0</v>
      </c>
      <c r="BK28" s="10">
        <f t="shared" si="4"/>
        <v>0</v>
      </c>
      <c r="BL28" s="10">
        <f t="shared" si="4"/>
        <v>0</v>
      </c>
      <c r="BM28" s="10">
        <f t="shared" si="4"/>
        <v>0</v>
      </c>
      <c r="BN28" s="10">
        <f t="shared" ref="BN28:BZ28" si="5">SUM(BN25:BN27)</f>
        <v>0</v>
      </c>
      <c r="BO28" s="10">
        <f t="shared" si="5"/>
        <v>0</v>
      </c>
      <c r="BP28" s="10">
        <f t="shared" si="5"/>
        <v>0</v>
      </c>
      <c r="BQ28" s="10">
        <f t="shared" si="5"/>
        <v>0</v>
      </c>
      <c r="BR28" s="10">
        <f t="shared" si="5"/>
        <v>0</v>
      </c>
      <c r="BS28" s="10">
        <f t="shared" si="5"/>
        <v>0</v>
      </c>
      <c r="BT28" s="10">
        <f t="shared" si="5"/>
        <v>0</v>
      </c>
      <c r="BU28" s="10">
        <f t="shared" si="5"/>
        <v>0</v>
      </c>
      <c r="BV28" s="10">
        <f t="shared" si="5"/>
        <v>0</v>
      </c>
      <c r="BW28" s="10">
        <f t="shared" si="5"/>
        <v>0</v>
      </c>
      <c r="BX28" s="10">
        <f t="shared" si="5"/>
        <v>0</v>
      </c>
      <c r="BY28" s="10">
        <f t="shared" si="5"/>
        <v>0</v>
      </c>
      <c r="BZ28" s="10">
        <f t="shared" si="5"/>
        <v>54241.5</v>
      </c>
    </row>
    <row r="29" spans="1:78">
      <c r="A29" s="6" t="s">
        <v>106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</row>
    <row r="30" spans="1:78">
      <c r="A30" s="7" t="s">
        <v>107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-6319.3</v>
      </c>
      <c r="BB30" s="8">
        <v>0</v>
      </c>
      <c r="BC30" s="8">
        <v>0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0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0</v>
      </c>
      <c r="BX30" s="8">
        <v>0</v>
      </c>
      <c r="BY30" s="8">
        <v>0</v>
      </c>
      <c r="BZ30" s="8">
        <f>SUM(B30:BY30)</f>
        <v>-6319.3</v>
      </c>
    </row>
    <row r="31" spans="1:78">
      <c r="A31" s="7" t="s">
        <v>108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35219.65</v>
      </c>
      <c r="BB31" s="8">
        <v>0</v>
      </c>
      <c r="BC31" s="8">
        <v>0</v>
      </c>
      <c r="BD31" s="8">
        <v>0</v>
      </c>
      <c r="BE31" s="8">
        <v>0</v>
      </c>
      <c r="BF31" s="8">
        <v>0</v>
      </c>
      <c r="BG31" s="8">
        <v>0</v>
      </c>
      <c r="BH31" s="8">
        <v>0</v>
      </c>
      <c r="BI31" s="8">
        <v>0</v>
      </c>
      <c r="BJ31" s="8">
        <v>0</v>
      </c>
      <c r="BK31" s="8">
        <v>0</v>
      </c>
      <c r="BL31" s="8">
        <v>0</v>
      </c>
      <c r="BM31" s="8">
        <v>0</v>
      </c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8">
        <f>SUM(B31:BY31)</f>
        <v>35219.65</v>
      </c>
    </row>
    <row r="32" spans="1:78">
      <c r="A32" s="9" t="s">
        <v>109</v>
      </c>
      <c r="B32" s="10">
        <f t="shared" ref="B32:BM32" si="6">SUM(B30:B31)</f>
        <v>0</v>
      </c>
      <c r="C32" s="10">
        <f t="shared" si="6"/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  <c r="H32" s="10">
        <f t="shared" si="6"/>
        <v>0</v>
      </c>
      <c r="I32" s="10">
        <f t="shared" si="6"/>
        <v>0</v>
      </c>
      <c r="J32" s="10">
        <f t="shared" si="6"/>
        <v>0</v>
      </c>
      <c r="K32" s="10">
        <f t="shared" si="6"/>
        <v>0</v>
      </c>
      <c r="L32" s="10">
        <f t="shared" si="6"/>
        <v>0</v>
      </c>
      <c r="M32" s="10">
        <f t="shared" si="6"/>
        <v>0</v>
      </c>
      <c r="N32" s="10">
        <f t="shared" si="6"/>
        <v>0</v>
      </c>
      <c r="O32" s="10">
        <f t="shared" si="6"/>
        <v>0</v>
      </c>
      <c r="P32" s="10">
        <f t="shared" si="6"/>
        <v>0</v>
      </c>
      <c r="Q32" s="10">
        <f t="shared" si="6"/>
        <v>0</v>
      </c>
      <c r="R32" s="10">
        <f t="shared" si="6"/>
        <v>0</v>
      </c>
      <c r="S32" s="10">
        <f t="shared" si="6"/>
        <v>0</v>
      </c>
      <c r="T32" s="10">
        <f t="shared" si="6"/>
        <v>0</v>
      </c>
      <c r="U32" s="10">
        <f t="shared" si="6"/>
        <v>0</v>
      </c>
      <c r="V32" s="10">
        <f t="shared" si="6"/>
        <v>0</v>
      </c>
      <c r="W32" s="10">
        <f t="shared" si="6"/>
        <v>0</v>
      </c>
      <c r="X32" s="10">
        <f t="shared" si="6"/>
        <v>0</v>
      </c>
      <c r="Y32" s="10">
        <f t="shared" si="6"/>
        <v>0</v>
      </c>
      <c r="Z32" s="10">
        <f t="shared" si="6"/>
        <v>0</v>
      </c>
      <c r="AA32" s="10">
        <f t="shared" si="6"/>
        <v>0</v>
      </c>
      <c r="AB32" s="10">
        <f t="shared" si="6"/>
        <v>0</v>
      </c>
      <c r="AC32" s="10">
        <f t="shared" si="6"/>
        <v>0</v>
      </c>
      <c r="AD32" s="10">
        <f t="shared" si="6"/>
        <v>0</v>
      </c>
      <c r="AE32" s="10">
        <f t="shared" si="6"/>
        <v>0</v>
      </c>
      <c r="AF32" s="10">
        <f t="shared" si="6"/>
        <v>0</v>
      </c>
      <c r="AG32" s="10">
        <f t="shared" si="6"/>
        <v>0</v>
      </c>
      <c r="AH32" s="10">
        <f t="shared" si="6"/>
        <v>0</v>
      </c>
      <c r="AI32" s="10">
        <f t="shared" si="6"/>
        <v>0</v>
      </c>
      <c r="AJ32" s="10">
        <f t="shared" si="6"/>
        <v>0</v>
      </c>
      <c r="AK32" s="10">
        <f t="shared" si="6"/>
        <v>0</v>
      </c>
      <c r="AL32" s="10">
        <f t="shared" si="6"/>
        <v>0</v>
      </c>
      <c r="AM32" s="10">
        <f t="shared" si="6"/>
        <v>0</v>
      </c>
      <c r="AN32" s="10">
        <f t="shared" si="6"/>
        <v>0</v>
      </c>
      <c r="AO32" s="10">
        <f t="shared" si="6"/>
        <v>0</v>
      </c>
      <c r="AP32" s="10">
        <f t="shared" si="6"/>
        <v>0</v>
      </c>
      <c r="AQ32" s="10">
        <f t="shared" si="6"/>
        <v>0</v>
      </c>
      <c r="AR32" s="10">
        <f t="shared" si="6"/>
        <v>0</v>
      </c>
      <c r="AS32" s="10">
        <f t="shared" si="6"/>
        <v>0</v>
      </c>
      <c r="AT32" s="10">
        <f t="shared" si="6"/>
        <v>0</v>
      </c>
      <c r="AU32" s="10">
        <f t="shared" si="6"/>
        <v>0</v>
      </c>
      <c r="AV32" s="10">
        <f t="shared" si="6"/>
        <v>0</v>
      </c>
      <c r="AW32" s="10">
        <f t="shared" si="6"/>
        <v>0</v>
      </c>
      <c r="AX32" s="10">
        <f t="shared" si="6"/>
        <v>0</v>
      </c>
      <c r="AY32" s="10">
        <f t="shared" si="6"/>
        <v>0</v>
      </c>
      <c r="AZ32" s="10">
        <f t="shared" si="6"/>
        <v>0</v>
      </c>
      <c r="BA32" s="10">
        <f t="shared" si="6"/>
        <v>28900.350000000002</v>
      </c>
      <c r="BB32" s="10">
        <f t="shared" si="6"/>
        <v>0</v>
      </c>
      <c r="BC32" s="10">
        <f t="shared" si="6"/>
        <v>0</v>
      </c>
      <c r="BD32" s="10">
        <f t="shared" si="6"/>
        <v>0</v>
      </c>
      <c r="BE32" s="10">
        <f t="shared" si="6"/>
        <v>0</v>
      </c>
      <c r="BF32" s="10">
        <f t="shared" si="6"/>
        <v>0</v>
      </c>
      <c r="BG32" s="10">
        <f t="shared" si="6"/>
        <v>0</v>
      </c>
      <c r="BH32" s="10">
        <f t="shared" si="6"/>
        <v>0</v>
      </c>
      <c r="BI32" s="10">
        <f t="shared" si="6"/>
        <v>0</v>
      </c>
      <c r="BJ32" s="10">
        <f t="shared" si="6"/>
        <v>0</v>
      </c>
      <c r="BK32" s="10">
        <f t="shared" si="6"/>
        <v>0</v>
      </c>
      <c r="BL32" s="10">
        <f t="shared" si="6"/>
        <v>0</v>
      </c>
      <c r="BM32" s="10">
        <f t="shared" si="6"/>
        <v>0</v>
      </c>
      <c r="BN32" s="10">
        <f t="shared" ref="BN32:BZ32" si="7">SUM(BN30:BN31)</f>
        <v>0</v>
      </c>
      <c r="BO32" s="10">
        <f t="shared" si="7"/>
        <v>0</v>
      </c>
      <c r="BP32" s="10">
        <f t="shared" si="7"/>
        <v>0</v>
      </c>
      <c r="BQ32" s="10">
        <f t="shared" si="7"/>
        <v>0</v>
      </c>
      <c r="BR32" s="10">
        <f t="shared" si="7"/>
        <v>0</v>
      </c>
      <c r="BS32" s="10">
        <f t="shared" si="7"/>
        <v>0</v>
      </c>
      <c r="BT32" s="10">
        <f t="shared" si="7"/>
        <v>0</v>
      </c>
      <c r="BU32" s="10">
        <f t="shared" si="7"/>
        <v>0</v>
      </c>
      <c r="BV32" s="10">
        <f t="shared" si="7"/>
        <v>0</v>
      </c>
      <c r="BW32" s="10">
        <f t="shared" si="7"/>
        <v>0</v>
      </c>
      <c r="BX32" s="10">
        <f t="shared" si="7"/>
        <v>0</v>
      </c>
      <c r="BY32" s="10">
        <f t="shared" si="7"/>
        <v>0</v>
      </c>
      <c r="BZ32" s="10">
        <f t="shared" si="7"/>
        <v>28900.350000000002</v>
      </c>
    </row>
    <row r="33" spans="1:80">
      <c r="A33" s="12" t="s">
        <v>110</v>
      </c>
      <c r="B33" s="10">
        <f t="shared" ref="B33:BM33" si="8">SUM(B17,B22:B23,B28,B32)</f>
        <v>0</v>
      </c>
      <c r="C33" s="10">
        <f t="shared" si="8"/>
        <v>563495.54</v>
      </c>
      <c r="D33" s="10">
        <f t="shared" si="8"/>
        <v>196203.64</v>
      </c>
      <c r="E33" s="10">
        <f t="shared" si="8"/>
        <v>22964.66</v>
      </c>
      <c r="F33" s="10">
        <f t="shared" si="8"/>
        <v>57459</v>
      </c>
      <c r="G33" s="10">
        <f t="shared" si="8"/>
        <v>56904.959999999999</v>
      </c>
      <c r="H33" s="10">
        <f t="shared" si="8"/>
        <v>92674.95</v>
      </c>
      <c r="I33" s="10">
        <f t="shared" si="8"/>
        <v>207283.62</v>
      </c>
      <c r="J33" s="10">
        <f t="shared" si="8"/>
        <v>339616.5</v>
      </c>
      <c r="K33" s="10">
        <f t="shared" si="8"/>
        <v>143467.57</v>
      </c>
      <c r="L33" s="10">
        <f t="shared" si="8"/>
        <v>24209</v>
      </c>
      <c r="M33" s="10">
        <f t="shared" si="8"/>
        <v>92403.36</v>
      </c>
      <c r="N33" s="10">
        <f t="shared" si="8"/>
        <v>171809.93</v>
      </c>
      <c r="O33" s="10">
        <f t="shared" si="8"/>
        <v>36122.300000000003</v>
      </c>
      <c r="P33" s="10">
        <f t="shared" si="8"/>
        <v>0</v>
      </c>
      <c r="Q33" s="10">
        <f t="shared" si="8"/>
        <v>0</v>
      </c>
      <c r="R33" s="10">
        <f t="shared" si="8"/>
        <v>0</v>
      </c>
      <c r="S33" s="10">
        <f t="shared" si="8"/>
        <v>11134</v>
      </c>
      <c r="T33" s="10">
        <f t="shared" si="8"/>
        <v>0</v>
      </c>
      <c r="U33" s="10">
        <f t="shared" si="8"/>
        <v>42199.85</v>
      </c>
      <c r="V33" s="10">
        <f t="shared" si="8"/>
        <v>34035.5</v>
      </c>
      <c r="W33" s="10">
        <f t="shared" si="8"/>
        <v>39000.99</v>
      </c>
      <c r="X33" s="10">
        <f t="shared" si="8"/>
        <v>108869.11</v>
      </c>
      <c r="Y33" s="10">
        <f t="shared" si="8"/>
        <v>33792</v>
      </c>
      <c r="Z33" s="10">
        <f t="shared" si="8"/>
        <v>65245</v>
      </c>
      <c r="AA33" s="10">
        <f t="shared" si="8"/>
        <v>28700</v>
      </c>
      <c r="AB33" s="10">
        <f t="shared" si="8"/>
        <v>243168.52</v>
      </c>
      <c r="AC33" s="10">
        <f t="shared" si="8"/>
        <v>1334</v>
      </c>
      <c r="AD33" s="10">
        <f t="shared" si="8"/>
        <v>693.92</v>
      </c>
      <c r="AE33" s="10">
        <f t="shared" si="8"/>
        <v>3650</v>
      </c>
      <c r="AF33" s="10">
        <f t="shared" si="8"/>
        <v>1551071.66</v>
      </c>
      <c r="AG33" s="10">
        <f t="shared" si="8"/>
        <v>622465.63</v>
      </c>
      <c r="AH33" s="10">
        <f t="shared" si="8"/>
        <v>21464.63</v>
      </c>
      <c r="AI33" s="10">
        <f t="shared" si="8"/>
        <v>17759.77</v>
      </c>
      <c r="AJ33" s="10">
        <f t="shared" si="8"/>
        <v>40700</v>
      </c>
      <c r="AK33" s="10">
        <f t="shared" si="8"/>
        <v>31061.759999999998</v>
      </c>
      <c r="AL33" s="10">
        <f t="shared" si="8"/>
        <v>189423.08</v>
      </c>
      <c r="AM33" s="10">
        <f t="shared" si="8"/>
        <v>0</v>
      </c>
      <c r="AN33" s="10">
        <f t="shared" si="8"/>
        <v>37031.120000000003</v>
      </c>
      <c r="AO33" s="10">
        <f t="shared" si="8"/>
        <v>0</v>
      </c>
      <c r="AP33" s="10">
        <f t="shared" si="8"/>
        <v>0</v>
      </c>
      <c r="AQ33" s="10">
        <f t="shared" si="8"/>
        <v>84107</v>
      </c>
      <c r="AR33" s="10">
        <f t="shared" si="8"/>
        <v>790.84</v>
      </c>
      <c r="AS33" s="10">
        <f t="shared" si="8"/>
        <v>4828.68</v>
      </c>
      <c r="AT33" s="10">
        <f t="shared" si="8"/>
        <v>0</v>
      </c>
      <c r="AU33" s="10">
        <f t="shared" si="8"/>
        <v>927498.82</v>
      </c>
      <c r="AV33" s="10">
        <f t="shared" si="8"/>
        <v>74755.350000000006</v>
      </c>
      <c r="AW33" s="10">
        <f t="shared" si="8"/>
        <v>32910</v>
      </c>
      <c r="AX33" s="10">
        <f t="shared" si="8"/>
        <v>1000.19</v>
      </c>
      <c r="AY33" s="10">
        <f t="shared" si="8"/>
        <v>171193.82</v>
      </c>
      <c r="AZ33" s="10">
        <f t="shared" si="8"/>
        <v>0</v>
      </c>
      <c r="BA33" s="10">
        <f t="shared" si="8"/>
        <v>83141.850000000006</v>
      </c>
      <c r="BB33" s="10">
        <f t="shared" si="8"/>
        <v>8901.5</v>
      </c>
      <c r="BC33" s="10">
        <f t="shared" si="8"/>
        <v>4760.8100000000004</v>
      </c>
      <c r="BD33" s="10">
        <f t="shared" si="8"/>
        <v>4333.74</v>
      </c>
      <c r="BE33" s="10">
        <f t="shared" si="8"/>
        <v>61819.38</v>
      </c>
      <c r="BF33" s="10">
        <f t="shared" si="8"/>
        <v>89692.2</v>
      </c>
      <c r="BG33" s="10">
        <f t="shared" si="8"/>
        <v>0</v>
      </c>
      <c r="BH33" s="10">
        <f t="shared" si="8"/>
        <v>0</v>
      </c>
      <c r="BI33" s="10">
        <f t="shared" si="8"/>
        <v>631981.92000000004</v>
      </c>
      <c r="BJ33" s="10">
        <f t="shared" si="8"/>
        <v>439689.91</v>
      </c>
      <c r="BK33" s="10">
        <f t="shared" si="8"/>
        <v>1242967.8700000001</v>
      </c>
      <c r="BL33" s="10">
        <f t="shared" si="8"/>
        <v>17449.98</v>
      </c>
      <c r="BM33" s="10">
        <f t="shared" si="8"/>
        <v>320690.63</v>
      </c>
      <c r="BN33" s="10">
        <f t="shared" ref="BN33:BZ33" si="9">SUM(BN17,BN22:BN23,BN28,BN32)</f>
        <v>462297</v>
      </c>
      <c r="BO33" s="10">
        <f t="shared" si="9"/>
        <v>72745</v>
      </c>
      <c r="BP33" s="10">
        <f t="shared" si="9"/>
        <v>350311</v>
      </c>
      <c r="BQ33" s="10">
        <f t="shared" si="9"/>
        <v>183842.67</v>
      </c>
      <c r="BR33" s="10">
        <f t="shared" si="9"/>
        <v>2555227.46</v>
      </c>
      <c r="BS33" s="10">
        <f t="shared" si="9"/>
        <v>4255674.62</v>
      </c>
      <c r="BT33" s="10">
        <f t="shared" si="9"/>
        <v>368682.89</v>
      </c>
      <c r="BU33" s="10">
        <f t="shared" si="9"/>
        <v>231365.52</v>
      </c>
      <c r="BV33" s="10">
        <f t="shared" si="9"/>
        <v>115339.27</v>
      </c>
      <c r="BW33" s="10">
        <f t="shared" si="9"/>
        <v>412337.41</v>
      </c>
      <c r="BX33" s="10">
        <f t="shared" si="9"/>
        <v>413899.61</v>
      </c>
      <c r="BY33" s="10">
        <f t="shared" si="9"/>
        <v>264267.76</v>
      </c>
      <c r="BZ33" s="10">
        <f t="shared" si="9"/>
        <v>19015920.27</v>
      </c>
    </row>
    <row r="34" spans="1:80">
      <c r="A34" s="13" t="s">
        <v>111</v>
      </c>
      <c r="B34" s="14">
        <f t="shared" ref="B34:BM34" si="10">B33-0</f>
        <v>0</v>
      </c>
      <c r="C34" s="14">
        <f t="shared" si="10"/>
        <v>563495.54</v>
      </c>
      <c r="D34" s="14">
        <f t="shared" si="10"/>
        <v>196203.64</v>
      </c>
      <c r="E34" s="14">
        <f t="shared" si="10"/>
        <v>22964.66</v>
      </c>
      <c r="F34" s="14">
        <f t="shared" si="10"/>
        <v>57459</v>
      </c>
      <c r="G34" s="14">
        <f t="shared" si="10"/>
        <v>56904.959999999999</v>
      </c>
      <c r="H34" s="14">
        <f t="shared" si="10"/>
        <v>92674.95</v>
      </c>
      <c r="I34" s="14">
        <f t="shared" si="10"/>
        <v>207283.62</v>
      </c>
      <c r="J34" s="14">
        <f t="shared" si="10"/>
        <v>339616.5</v>
      </c>
      <c r="K34" s="14">
        <f t="shared" si="10"/>
        <v>143467.57</v>
      </c>
      <c r="L34" s="14">
        <f t="shared" si="10"/>
        <v>24209</v>
      </c>
      <c r="M34" s="14">
        <f t="shared" si="10"/>
        <v>92403.36</v>
      </c>
      <c r="N34" s="14">
        <f t="shared" si="10"/>
        <v>171809.93</v>
      </c>
      <c r="O34" s="14">
        <f t="shared" si="10"/>
        <v>36122.300000000003</v>
      </c>
      <c r="P34" s="14">
        <f t="shared" si="10"/>
        <v>0</v>
      </c>
      <c r="Q34" s="14">
        <f t="shared" si="10"/>
        <v>0</v>
      </c>
      <c r="R34" s="14">
        <f t="shared" si="10"/>
        <v>0</v>
      </c>
      <c r="S34" s="14">
        <f t="shared" si="10"/>
        <v>11134</v>
      </c>
      <c r="T34" s="14">
        <f t="shared" si="10"/>
        <v>0</v>
      </c>
      <c r="U34" s="14">
        <f t="shared" si="10"/>
        <v>42199.85</v>
      </c>
      <c r="V34" s="14">
        <f t="shared" si="10"/>
        <v>34035.5</v>
      </c>
      <c r="W34" s="14">
        <f t="shared" si="10"/>
        <v>39000.99</v>
      </c>
      <c r="X34" s="14">
        <f t="shared" si="10"/>
        <v>108869.11</v>
      </c>
      <c r="Y34" s="14">
        <f t="shared" si="10"/>
        <v>33792</v>
      </c>
      <c r="Z34" s="14">
        <f t="shared" si="10"/>
        <v>65245</v>
      </c>
      <c r="AA34" s="14">
        <f t="shared" si="10"/>
        <v>28700</v>
      </c>
      <c r="AB34" s="14">
        <f t="shared" si="10"/>
        <v>243168.52</v>
      </c>
      <c r="AC34" s="14">
        <f t="shared" si="10"/>
        <v>1334</v>
      </c>
      <c r="AD34" s="14">
        <f t="shared" si="10"/>
        <v>693.92</v>
      </c>
      <c r="AE34" s="14">
        <f t="shared" si="10"/>
        <v>3650</v>
      </c>
      <c r="AF34" s="14">
        <f t="shared" si="10"/>
        <v>1551071.66</v>
      </c>
      <c r="AG34" s="14">
        <f t="shared" si="10"/>
        <v>622465.63</v>
      </c>
      <c r="AH34" s="14">
        <f t="shared" si="10"/>
        <v>21464.63</v>
      </c>
      <c r="AI34" s="14">
        <f t="shared" si="10"/>
        <v>17759.77</v>
      </c>
      <c r="AJ34" s="14">
        <f t="shared" si="10"/>
        <v>40700</v>
      </c>
      <c r="AK34" s="14">
        <f t="shared" si="10"/>
        <v>31061.759999999998</v>
      </c>
      <c r="AL34" s="14">
        <f t="shared" si="10"/>
        <v>189423.08</v>
      </c>
      <c r="AM34" s="14">
        <f t="shared" si="10"/>
        <v>0</v>
      </c>
      <c r="AN34" s="14">
        <f t="shared" si="10"/>
        <v>37031.120000000003</v>
      </c>
      <c r="AO34" s="14">
        <f t="shared" si="10"/>
        <v>0</v>
      </c>
      <c r="AP34" s="14">
        <f t="shared" si="10"/>
        <v>0</v>
      </c>
      <c r="AQ34" s="14">
        <f t="shared" si="10"/>
        <v>84107</v>
      </c>
      <c r="AR34" s="14">
        <f t="shared" si="10"/>
        <v>790.84</v>
      </c>
      <c r="AS34" s="14">
        <f t="shared" si="10"/>
        <v>4828.68</v>
      </c>
      <c r="AT34" s="14">
        <f t="shared" si="10"/>
        <v>0</v>
      </c>
      <c r="AU34" s="14">
        <f t="shared" si="10"/>
        <v>927498.82</v>
      </c>
      <c r="AV34" s="14">
        <f t="shared" si="10"/>
        <v>74755.350000000006</v>
      </c>
      <c r="AW34" s="14">
        <f t="shared" si="10"/>
        <v>32910</v>
      </c>
      <c r="AX34" s="14">
        <f t="shared" si="10"/>
        <v>1000.19</v>
      </c>
      <c r="AY34" s="14">
        <f t="shared" si="10"/>
        <v>171193.82</v>
      </c>
      <c r="AZ34" s="14">
        <f t="shared" si="10"/>
        <v>0</v>
      </c>
      <c r="BA34" s="14">
        <f t="shared" si="10"/>
        <v>83141.850000000006</v>
      </c>
      <c r="BB34" s="14">
        <f t="shared" si="10"/>
        <v>8901.5</v>
      </c>
      <c r="BC34" s="14">
        <f t="shared" si="10"/>
        <v>4760.8100000000004</v>
      </c>
      <c r="BD34" s="14">
        <f t="shared" si="10"/>
        <v>4333.74</v>
      </c>
      <c r="BE34" s="14">
        <f t="shared" si="10"/>
        <v>61819.38</v>
      </c>
      <c r="BF34" s="14">
        <f t="shared" si="10"/>
        <v>89692.2</v>
      </c>
      <c r="BG34" s="14">
        <f t="shared" si="10"/>
        <v>0</v>
      </c>
      <c r="BH34" s="14">
        <f t="shared" si="10"/>
        <v>0</v>
      </c>
      <c r="BI34" s="14">
        <f t="shared" si="10"/>
        <v>631981.92000000004</v>
      </c>
      <c r="BJ34" s="14">
        <f t="shared" si="10"/>
        <v>439689.91</v>
      </c>
      <c r="BK34" s="14">
        <f t="shared" si="10"/>
        <v>1242967.8700000001</v>
      </c>
      <c r="BL34" s="14">
        <f t="shared" si="10"/>
        <v>17449.98</v>
      </c>
      <c r="BM34" s="14">
        <f t="shared" si="10"/>
        <v>320690.63</v>
      </c>
      <c r="BN34" s="14">
        <f t="shared" ref="BN34:BZ34" si="11">BN33-0</f>
        <v>462297</v>
      </c>
      <c r="BO34" s="14">
        <f t="shared" si="11"/>
        <v>72745</v>
      </c>
      <c r="BP34" s="14">
        <f t="shared" si="11"/>
        <v>350311</v>
      </c>
      <c r="BQ34" s="14">
        <f t="shared" si="11"/>
        <v>183842.67</v>
      </c>
      <c r="BR34" s="14">
        <f t="shared" si="11"/>
        <v>2555227.46</v>
      </c>
      <c r="BS34" s="14">
        <f t="shared" si="11"/>
        <v>4255674.62</v>
      </c>
      <c r="BT34" s="14">
        <f t="shared" si="11"/>
        <v>368682.89</v>
      </c>
      <c r="BU34" s="14">
        <f t="shared" si="11"/>
        <v>231365.52</v>
      </c>
      <c r="BV34" s="14">
        <f t="shared" si="11"/>
        <v>115339.27</v>
      </c>
      <c r="BW34" s="14">
        <f t="shared" si="11"/>
        <v>412337.41</v>
      </c>
      <c r="BX34" s="14">
        <f t="shared" si="11"/>
        <v>413899.61</v>
      </c>
      <c r="BY34" s="14">
        <f t="shared" si="11"/>
        <v>264267.76</v>
      </c>
      <c r="BZ34" s="14">
        <f t="shared" si="11"/>
        <v>19015920.27</v>
      </c>
    </row>
    <row r="35" spans="1:80">
      <c r="A35" s="5" t="s">
        <v>112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</row>
    <row r="36" spans="1:80">
      <c r="A36" s="6" t="s">
        <v>113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</row>
    <row r="37" spans="1:80">
      <c r="A37" s="7" t="s">
        <v>114</v>
      </c>
      <c r="B37" s="8">
        <v>0</v>
      </c>
      <c r="C37" s="8">
        <v>178048.19</v>
      </c>
      <c r="D37" s="8">
        <v>75330.45</v>
      </c>
      <c r="E37" s="8">
        <v>28203.61</v>
      </c>
      <c r="F37" s="8">
        <v>34124.120000000003</v>
      </c>
      <c r="G37" s="8">
        <v>7698.5</v>
      </c>
      <c r="H37" s="8">
        <v>39704.089999999997</v>
      </c>
      <c r="I37" s="8">
        <v>73694.59</v>
      </c>
      <c r="J37" s="8">
        <v>132429.43</v>
      </c>
      <c r="K37" s="8">
        <v>96100.53</v>
      </c>
      <c r="L37" s="8">
        <v>16234.59</v>
      </c>
      <c r="M37" s="8">
        <v>39086.15</v>
      </c>
      <c r="N37" s="8">
        <v>90519.05</v>
      </c>
      <c r="O37" s="8">
        <v>17640.23</v>
      </c>
      <c r="P37" s="8">
        <v>459.12</v>
      </c>
      <c r="Q37" s="8">
        <v>667.72</v>
      </c>
      <c r="R37" s="8">
        <v>667.72</v>
      </c>
      <c r="S37" s="8">
        <v>835.21</v>
      </c>
      <c r="T37" s="8">
        <v>553.84</v>
      </c>
      <c r="U37" s="8">
        <v>27096.03</v>
      </c>
      <c r="V37" s="8">
        <v>25593.5</v>
      </c>
      <c r="W37" s="8">
        <v>29340.99</v>
      </c>
      <c r="X37" s="8">
        <v>68161.070000000007</v>
      </c>
      <c r="Y37" s="8">
        <v>24039.75</v>
      </c>
      <c r="Z37" s="8">
        <v>46811.66</v>
      </c>
      <c r="AA37" s="8">
        <v>19730.27</v>
      </c>
      <c r="AB37" s="8">
        <v>125523.66</v>
      </c>
      <c r="AC37" s="8">
        <v>0</v>
      </c>
      <c r="AD37" s="8">
        <v>0</v>
      </c>
      <c r="AE37" s="8">
        <v>0</v>
      </c>
      <c r="AF37" s="8">
        <v>102068.86</v>
      </c>
      <c r="AG37" s="8">
        <v>50735.87</v>
      </c>
      <c r="AH37" s="8">
        <v>0</v>
      </c>
      <c r="AI37" s="8">
        <v>323.07</v>
      </c>
      <c r="AJ37" s="8">
        <v>20319.3</v>
      </c>
      <c r="AK37" s="8">
        <v>12433.84</v>
      </c>
      <c r="AL37" s="8">
        <v>113068.25</v>
      </c>
      <c r="AM37" s="8">
        <v>0</v>
      </c>
      <c r="AN37" s="8">
        <v>26029.52</v>
      </c>
      <c r="AO37" s="8">
        <v>0</v>
      </c>
      <c r="AP37" s="8">
        <v>1710.6</v>
      </c>
      <c r="AQ37" s="8">
        <v>0</v>
      </c>
      <c r="AR37" s="8">
        <v>0</v>
      </c>
      <c r="AS37" s="8">
        <v>0</v>
      </c>
      <c r="AT37" s="8">
        <v>1532.06</v>
      </c>
      <c r="AU37" s="8">
        <v>44672.31</v>
      </c>
      <c r="AV37" s="8">
        <v>7492.06</v>
      </c>
      <c r="AW37" s="8">
        <v>22909.55</v>
      </c>
      <c r="AX37" s="8">
        <v>0</v>
      </c>
      <c r="AY37" s="8">
        <v>106853.72</v>
      </c>
      <c r="AZ37" s="8">
        <v>5813.2</v>
      </c>
      <c r="BA37" s="8">
        <v>-18456.21</v>
      </c>
      <c r="BB37" s="8">
        <v>7253.56</v>
      </c>
      <c r="BC37" s="8">
        <v>7253.49</v>
      </c>
      <c r="BD37" s="8">
        <v>7359.88</v>
      </c>
      <c r="BE37" s="8">
        <v>17065.97</v>
      </c>
      <c r="BF37" s="8">
        <v>27645.87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8">
        <v>0</v>
      </c>
      <c r="BN37" s="8">
        <v>0</v>
      </c>
      <c r="BO37" s="8">
        <v>0</v>
      </c>
      <c r="BP37" s="8">
        <v>0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8">
        <f>SUM(B37:BY37)</f>
        <v>1762378.8400000005</v>
      </c>
    </row>
    <row r="38" spans="1:80">
      <c r="A38" s="7" t="s">
        <v>115</v>
      </c>
      <c r="B38" s="8">
        <v>0</v>
      </c>
      <c r="C38" s="8">
        <v>12.18</v>
      </c>
      <c r="D38" s="8">
        <v>801.19</v>
      </c>
      <c r="E38" s="8">
        <v>0</v>
      </c>
      <c r="F38" s="8">
        <v>169.52</v>
      </c>
      <c r="G38" s="8">
        <v>0</v>
      </c>
      <c r="H38" s="8">
        <v>0</v>
      </c>
      <c r="I38" s="8">
        <v>335.23</v>
      </c>
      <c r="J38" s="8">
        <v>6772.61</v>
      </c>
      <c r="K38" s="8">
        <v>2088.0100000000002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5083.95</v>
      </c>
      <c r="Y38" s="8">
        <v>0</v>
      </c>
      <c r="Z38" s="8">
        <v>226.9</v>
      </c>
      <c r="AA38" s="8">
        <v>12.18</v>
      </c>
      <c r="AB38" s="8">
        <v>4870.28</v>
      </c>
      <c r="AC38" s="8">
        <v>0</v>
      </c>
      <c r="AD38" s="8">
        <v>0</v>
      </c>
      <c r="AE38" s="8">
        <v>0</v>
      </c>
      <c r="AF38" s="8">
        <v>-41.3</v>
      </c>
      <c r="AG38" s="8">
        <v>41.34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0</v>
      </c>
      <c r="AT38" s="8">
        <v>-749.83</v>
      </c>
      <c r="AU38" s="8">
        <v>993.43</v>
      </c>
      <c r="AV38" s="8">
        <v>0</v>
      </c>
      <c r="AW38" s="8">
        <v>101.4</v>
      </c>
      <c r="AX38" s="8">
        <v>0</v>
      </c>
      <c r="AY38" s="8">
        <v>629.45000000000005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0</v>
      </c>
      <c r="BJ38" s="8">
        <v>0</v>
      </c>
      <c r="BK38" s="8">
        <v>0</v>
      </c>
      <c r="BL38" s="8">
        <v>0</v>
      </c>
      <c r="BM38" s="8">
        <v>0</v>
      </c>
      <c r="BN38" s="8">
        <v>0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0</v>
      </c>
      <c r="BX38" s="8">
        <v>0</v>
      </c>
      <c r="BY38" s="8">
        <v>0</v>
      </c>
      <c r="BZ38" s="8">
        <f>SUM(B38:BY38)</f>
        <v>21346.54</v>
      </c>
      <c r="CB38" s="77">
        <f>BZ38/BZ37</f>
        <v>1.2112344698827633E-2</v>
      </c>
    </row>
    <row r="39" spans="1:80">
      <c r="A39" s="7" t="s">
        <v>116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v>0</v>
      </c>
      <c r="AX39" s="8">
        <v>0</v>
      </c>
      <c r="AY39" s="8">
        <v>0</v>
      </c>
      <c r="AZ39" s="8">
        <v>0</v>
      </c>
      <c r="BA39" s="8">
        <v>2700</v>
      </c>
      <c r="BB39" s="8">
        <v>0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</v>
      </c>
      <c r="BL39" s="8">
        <v>0</v>
      </c>
      <c r="BM39" s="8">
        <v>0</v>
      </c>
      <c r="BN39" s="8">
        <v>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0</v>
      </c>
      <c r="BU39" s="8">
        <v>0</v>
      </c>
      <c r="BV39" s="8">
        <v>0</v>
      </c>
      <c r="BW39" s="8">
        <v>0</v>
      </c>
      <c r="BX39" s="8">
        <v>0</v>
      </c>
      <c r="BY39" s="8">
        <v>0</v>
      </c>
      <c r="BZ39" s="8">
        <f>SUM(B39:BY39)</f>
        <v>2700</v>
      </c>
    </row>
    <row r="40" spans="1:80">
      <c r="A40" s="9" t="s">
        <v>117</v>
      </c>
      <c r="B40" s="10">
        <f t="shared" ref="B40:BM40" si="12">SUM(B37:B39)</f>
        <v>0</v>
      </c>
      <c r="C40" s="10">
        <f t="shared" si="12"/>
        <v>178060.37</v>
      </c>
      <c r="D40" s="10">
        <f t="shared" si="12"/>
        <v>76131.64</v>
      </c>
      <c r="E40" s="10">
        <f t="shared" si="12"/>
        <v>28203.61</v>
      </c>
      <c r="F40" s="10">
        <f t="shared" si="12"/>
        <v>34293.64</v>
      </c>
      <c r="G40" s="10">
        <f t="shared" si="12"/>
        <v>7698.5</v>
      </c>
      <c r="H40" s="10">
        <f t="shared" si="12"/>
        <v>39704.089999999997</v>
      </c>
      <c r="I40" s="10">
        <f t="shared" si="12"/>
        <v>74029.819999999992</v>
      </c>
      <c r="J40" s="10">
        <f t="shared" si="12"/>
        <v>139202.03999999998</v>
      </c>
      <c r="K40" s="10">
        <f t="shared" si="12"/>
        <v>98188.54</v>
      </c>
      <c r="L40" s="10">
        <f t="shared" si="12"/>
        <v>16234.59</v>
      </c>
      <c r="M40" s="10">
        <f t="shared" si="12"/>
        <v>39086.15</v>
      </c>
      <c r="N40" s="10">
        <f t="shared" si="12"/>
        <v>90519.05</v>
      </c>
      <c r="O40" s="10">
        <f t="shared" si="12"/>
        <v>17640.23</v>
      </c>
      <c r="P40" s="10">
        <f t="shared" si="12"/>
        <v>459.12</v>
      </c>
      <c r="Q40" s="10">
        <f t="shared" si="12"/>
        <v>667.72</v>
      </c>
      <c r="R40" s="10">
        <f t="shared" si="12"/>
        <v>667.72</v>
      </c>
      <c r="S40" s="10">
        <f t="shared" si="12"/>
        <v>835.21</v>
      </c>
      <c r="T40" s="10">
        <f t="shared" si="12"/>
        <v>553.84</v>
      </c>
      <c r="U40" s="10">
        <f t="shared" si="12"/>
        <v>27096.03</v>
      </c>
      <c r="V40" s="10">
        <f t="shared" si="12"/>
        <v>25593.5</v>
      </c>
      <c r="W40" s="10">
        <f t="shared" si="12"/>
        <v>29340.99</v>
      </c>
      <c r="X40" s="10">
        <f t="shared" si="12"/>
        <v>73245.02</v>
      </c>
      <c r="Y40" s="10">
        <f t="shared" si="12"/>
        <v>24039.75</v>
      </c>
      <c r="Z40" s="10">
        <f t="shared" si="12"/>
        <v>47038.560000000005</v>
      </c>
      <c r="AA40" s="10">
        <f t="shared" si="12"/>
        <v>19742.45</v>
      </c>
      <c r="AB40" s="10">
        <f t="shared" si="12"/>
        <v>130393.94</v>
      </c>
      <c r="AC40" s="10">
        <f t="shared" si="12"/>
        <v>0</v>
      </c>
      <c r="AD40" s="10">
        <f t="shared" si="12"/>
        <v>0</v>
      </c>
      <c r="AE40" s="10">
        <f t="shared" si="12"/>
        <v>0</v>
      </c>
      <c r="AF40" s="10">
        <f t="shared" si="12"/>
        <v>102027.56</v>
      </c>
      <c r="AG40" s="10">
        <f t="shared" si="12"/>
        <v>50777.21</v>
      </c>
      <c r="AH40" s="10">
        <f t="shared" si="12"/>
        <v>0</v>
      </c>
      <c r="AI40" s="10">
        <f t="shared" si="12"/>
        <v>323.07</v>
      </c>
      <c r="AJ40" s="10">
        <f t="shared" si="12"/>
        <v>20319.3</v>
      </c>
      <c r="AK40" s="10">
        <f t="shared" si="12"/>
        <v>12433.84</v>
      </c>
      <c r="AL40" s="10">
        <f t="shared" si="12"/>
        <v>113068.25</v>
      </c>
      <c r="AM40" s="10">
        <f t="shared" si="12"/>
        <v>0</v>
      </c>
      <c r="AN40" s="10">
        <f t="shared" si="12"/>
        <v>26029.52</v>
      </c>
      <c r="AO40" s="10">
        <f t="shared" si="12"/>
        <v>0</v>
      </c>
      <c r="AP40" s="10">
        <f t="shared" si="12"/>
        <v>1710.6</v>
      </c>
      <c r="AQ40" s="10">
        <f t="shared" si="12"/>
        <v>0</v>
      </c>
      <c r="AR40" s="10">
        <f t="shared" si="12"/>
        <v>0</v>
      </c>
      <c r="AS40" s="10">
        <f t="shared" si="12"/>
        <v>0</v>
      </c>
      <c r="AT40" s="10">
        <f t="shared" si="12"/>
        <v>782.2299999999999</v>
      </c>
      <c r="AU40" s="10">
        <f t="shared" si="12"/>
        <v>45665.74</v>
      </c>
      <c r="AV40" s="10">
        <f t="shared" si="12"/>
        <v>7492.06</v>
      </c>
      <c r="AW40" s="10">
        <f t="shared" si="12"/>
        <v>23010.95</v>
      </c>
      <c r="AX40" s="10">
        <f t="shared" si="12"/>
        <v>0</v>
      </c>
      <c r="AY40" s="10">
        <f t="shared" si="12"/>
        <v>107483.17</v>
      </c>
      <c r="AZ40" s="10">
        <f t="shared" si="12"/>
        <v>5813.2</v>
      </c>
      <c r="BA40" s="10">
        <f t="shared" si="12"/>
        <v>-15756.21</v>
      </c>
      <c r="BB40" s="10">
        <f t="shared" si="12"/>
        <v>7253.56</v>
      </c>
      <c r="BC40" s="10">
        <f t="shared" si="12"/>
        <v>7253.49</v>
      </c>
      <c r="BD40" s="10">
        <f t="shared" si="12"/>
        <v>7359.88</v>
      </c>
      <c r="BE40" s="10">
        <f t="shared" si="12"/>
        <v>17065.97</v>
      </c>
      <c r="BF40" s="10">
        <f t="shared" si="12"/>
        <v>27645.87</v>
      </c>
      <c r="BG40" s="10">
        <f t="shared" si="12"/>
        <v>0</v>
      </c>
      <c r="BH40" s="10">
        <f t="shared" si="12"/>
        <v>0</v>
      </c>
      <c r="BI40" s="10">
        <f t="shared" si="12"/>
        <v>0</v>
      </c>
      <c r="BJ40" s="10">
        <f t="shared" si="12"/>
        <v>0</v>
      </c>
      <c r="BK40" s="10">
        <f t="shared" si="12"/>
        <v>0</v>
      </c>
      <c r="BL40" s="10">
        <f t="shared" si="12"/>
        <v>0</v>
      </c>
      <c r="BM40" s="10">
        <f t="shared" si="12"/>
        <v>0</v>
      </c>
      <c r="BN40" s="10">
        <f t="shared" ref="BN40:BZ40" si="13">SUM(BN37:BN39)</f>
        <v>0</v>
      </c>
      <c r="BO40" s="10">
        <f t="shared" si="13"/>
        <v>0</v>
      </c>
      <c r="BP40" s="10">
        <f t="shared" si="13"/>
        <v>0</v>
      </c>
      <c r="BQ40" s="10">
        <f t="shared" si="13"/>
        <v>0</v>
      </c>
      <c r="BR40" s="10">
        <f t="shared" si="13"/>
        <v>0</v>
      </c>
      <c r="BS40" s="10">
        <f t="shared" si="13"/>
        <v>0</v>
      </c>
      <c r="BT40" s="10">
        <f t="shared" si="13"/>
        <v>0</v>
      </c>
      <c r="BU40" s="10">
        <f t="shared" si="13"/>
        <v>0</v>
      </c>
      <c r="BV40" s="10">
        <f t="shared" si="13"/>
        <v>0</v>
      </c>
      <c r="BW40" s="10">
        <f t="shared" si="13"/>
        <v>0</v>
      </c>
      <c r="BX40" s="10">
        <f t="shared" si="13"/>
        <v>0</v>
      </c>
      <c r="BY40" s="10">
        <f t="shared" si="13"/>
        <v>0</v>
      </c>
      <c r="BZ40" s="10">
        <f t="shared" si="13"/>
        <v>1786425.3800000006</v>
      </c>
    </row>
    <row r="41" spans="1:80">
      <c r="A41" s="6" t="s">
        <v>118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</row>
    <row r="42" spans="1:80">
      <c r="A42" s="7" t="s">
        <v>119</v>
      </c>
      <c r="B42" s="8">
        <v>0</v>
      </c>
      <c r="C42" s="8">
        <v>13037.47</v>
      </c>
      <c r="D42" s="8">
        <v>5560.53</v>
      </c>
      <c r="E42" s="8">
        <v>2515.9699999999998</v>
      </c>
      <c r="F42" s="8">
        <v>2544.02</v>
      </c>
      <c r="G42" s="8">
        <v>546.53</v>
      </c>
      <c r="H42" s="8">
        <v>2910.3</v>
      </c>
      <c r="I42" s="8">
        <v>5417.77</v>
      </c>
      <c r="J42" s="8">
        <v>10305.540000000001</v>
      </c>
      <c r="K42" s="8">
        <v>7424.11</v>
      </c>
      <c r="L42" s="8">
        <v>1173.71</v>
      </c>
      <c r="M42" s="8">
        <v>2805.8</v>
      </c>
      <c r="N42" s="8">
        <v>6633.77</v>
      </c>
      <c r="O42" s="8">
        <v>1320.78</v>
      </c>
      <c r="P42" s="8">
        <v>33.799999999999997</v>
      </c>
      <c r="Q42" s="8">
        <v>49.04</v>
      </c>
      <c r="R42" s="8">
        <v>49.09</v>
      </c>
      <c r="S42" s="8">
        <v>61.82</v>
      </c>
      <c r="T42" s="8">
        <v>37.9</v>
      </c>
      <c r="U42" s="8">
        <v>2035.79</v>
      </c>
      <c r="V42" s="8">
        <v>1908</v>
      </c>
      <c r="W42" s="8">
        <v>2184</v>
      </c>
      <c r="X42" s="8">
        <v>5458.65</v>
      </c>
      <c r="Y42" s="8">
        <v>1867.15</v>
      </c>
      <c r="Z42" s="8">
        <v>3536.1</v>
      </c>
      <c r="AA42" s="8">
        <v>1266.72</v>
      </c>
      <c r="AB42" s="8">
        <v>9748.82</v>
      </c>
      <c r="AC42" s="8">
        <v>0</v>
      </c>
      <c r="AD42" s="8">
        <v>0</v>
      </c>
      <c r="AE42" s="8">
        <v>0</v>
      </c>
      <c r="AF42" s="8">
        <v>7533.94</v>
      </c>
      <c r="AG42" s="8">
        <v>3717.11</v>
      </c>
      <c r="AH42" s="8">
        <v>0</v>
      </c>
      <c r="AI42" s="8">
        <v>24.71</v>
      </c>
      <c r="AJ42" s="8">
        <v>1419.26</v>
      </c>
      <c r="AK42" s="8">
        <v>928.72</v>
      </c>
      <c r="AL42" s="8">
        <v>8085.22</v>
      </c>
      <c r="AM42" s="8">
        <v>0</v>
      </c>
      <c r="AN42" s="8">
        <v>1847.09</v>
      </c>
      <c r="AO42" s="8">
        <v>0</v>
      </c>
      <c r="AP42" s="8">
        <v>125.49</v>
      </c>
      <c r="AQ42" s="8">
        <v>0</v>
      </c>
      <c r="AR42" s="8">
        <v>0</v>
      </c>
      <c r="AS42" s="8">
        <v>0</v>
      </c>
      <c r="AT42" s="8">
        <v>37.21</v>
      </c>
      <c r="AU42" s="8">
        <v>3422.42</v>
      </c>
      <c r="AV42" s="8">
        <v>502.05</v>
      </c>
      <c r="AW42" s="8">
        <v>1724.88</v>
      </c>
      <c r="AX42" s="8">
        <v>0</v>
      </c>
      <c r="AY42" s="8">
        <v>7699</v>
      </c>
      <c r="AZ42" s="8">
        <v>438.3</v>
      </c>
      <c r="BA42" s="8">
        <v>76.5</v>
      </c>
      <c r="BB42" s="8">
        <v>539.92999999999995</v>
      </c>
      <c r="BC42" s="8">
        <v>540.09</v>
      </c>
      <c r="BD42" s="8">
        <v>553.22</v>
      </c>
      <c r="BE42" s="8">
        <v>1527.58</v>
      </c>
      <c r="BF42" s="8">
        <v>2042.76</v>
      </c>
      <c r="BG42" s="8">
        <v>0</v>
      </c>
      <c r="BH42" s="8">
        <v>0</v>
      </c>
      <c r="BI42" s="8">
        <v>0</v>
      </c>
      <c r="BJ42" s="8">
        <v>0</v>
      </c>
      <c r="BK42" s="8">
        <v>0</v>
      </c>
      <c r="BL42" s="8">
        <v>0</v>
      </c>
      <c r="BM42" s="8">
        <v>0</v>
      </c>
      <c r="BN42" s="8">
        <v>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f>SUM(B42:BY42)</f>
        <v>133218.66</v>
      </c>
    </row>
    <row r="43" spans="1:80">
      <c r="A43" s="7" t="s">
        <v>120</v>
      </c>
      <c r="B43" s="8">
        <v>0</v>
      </c>
      <c r="C43" s="8">
        <v>108.13</v>
      </c>
      <c r="D43" s="8">
        <v>59.31</v>
      </c>
      <c r="E43" s="8">
        <v>53.99</v>
      </c>
      <c r="F43" s="8">
        <v>43.1</v>
      </c>
      <c r="G43" s="8">
        <v>16.22</v>
      </c>
      <c r="H43" s="8">
        <v>61.38</v>
      </c>
      <c r="I43" s="8">
        <v>110.77</v>
      </c>
      <c r="J43" s="8">
        <v>238.45</v>
      </c>
      <c r="K43" s="8">
        <v>159.38</v>
      </c>
      <c r="L43" s="8">
        <v>41.57</v>
      </c>
      <c r="M43" s="8">
        <v>26.76</v>
      </c>
      <c r="N43" s="8">
        <v>100.71</v>
      </c>
      <c r="O43" s="8">
        <v>50.91</v>
      </c>
      <c r="P43" s="8">
        <v>0</v>
      </c>
      <c r="Q43" s="8">
        <v>0</v>
      </c>
      <c r="R43" s="8">
        <v>0</v>
      </c>
      <c r="S43" s="8">
        <v>0.7</v>
      </c>
      <c r="T43" s="8">
        <v>0</v>
      </c>
      <c r="U43" s="8">
        <v>65.94</v>
      </c>
      <c r="V43" s="8">
        <v>24</v>
      </c>
      <c r="W43" s="8">
        <v>24</v>
      </c>
      <c r="X43" s="8">
        <v>96.01</v>
      </c>
      <c r="Y43" s="8">
        <v>127</v>
      </c>
      <c r="Z43" s="8">
        <v>242.29</v>
      </c>
      <c r="AA43" s="8">
        <v>82.25</v>
      </c>
      <c r="AB43" s="8">
        <v>196.82</v>
      </c>
      <c r="AC43" s="8">
        <v>0</v>
      </c>
      <c r="AD43" s="8">
        <v>0</v>
      </c>
      <c r="AE43" s="8">
        <v>0</v>
      </c>
      <c r="AF43" s="8">
        <v>173.02</v>
      </c>
      <c r="AG43" s="8">
        <v>68.89</v>
      </c>
      <c r="AH43" s="8">
        <v>0</v>
      </c>
      <c r="AI43" s="8">
        <v>1.46</v>
      </c>
      <c r="AJ43" s="8">
        <v>21.88</v>
      </c>
      <c r="AK43" s="8">
        <v>25.84</v>
      </c>
      <c r="AL43" s="8">
        <v>97.96</v>
      </c>
      <c r="AM43" s="8">
        <v>0</v>
      </c>
      <c r="AN43" s="8">
        <v>26.36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34.97</v>
      </c>
      <c r="AU43" s="8">
        <v>79.53</v>
      </c>
      <c r="AV43" s="8">
        <v>3.19</v>
      </c>
      <c r="AW43" s="8">
        <v>46.21</v>
      </c>
      <c r="AX43" s="8">
        <v>0</v>
      </c>
      <c r="AY43" s="8">
        <v>141.35</v>
      </c>
      <c r="AZ43" s="8">
        <v>0</v>
      </c>
      <c r="BA43" s="8">
        <v>-188.7</v>
      </c>
      <c r="BB43" s="8">
        <v>12.89</v>
      </c>
      <c r="BC43" s="8">
        <v>12.86</v>
      </c>
      <c r="BD43" s="8">
        <v>9.7100000000000009</v>
      </c>
      <c r="BE43" s="8">
        <v>46.1</v>
      </c>
      <c r="BF43" s="8">
        <v>50.22</v>
      </c>
      <c r="BG43" s="8">
        <v>0</v>
      </c>
      <c r="BH43" s="8">
        <v>0</v>
      </c>
      <c r="BI43" s="8">
        <v>0</v>
      </c>
      <c r="BJ43" s="8">
        <v>0</v>
      </c>
      <c r="BK43" s="8">
        <v>0</v>
      </c>
      <c r="BL43" s="8">
        <v>0</v>
      </c>
      <c r="BM43" s="8">
        <v>0</v>
      </c>
      <c r="BN43" s="8">
        <v>0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0</v>
      </c>
      <c r="BU43" s="8">
        <v>0</v>
      </c>
      <c r="BV43" s="8">
        <v>0</v>
      </c>
      <c r="BW43" s="8">
        <v>0</v>
      </c>
      <c r="BX43" s="8">
        <v>0</v>
      </c>
      <c r="BY43" s="8">
        <v>0</v>
      </c>
      <c r="BZ43" s="8">
        <f>SUM(B43:BY43)</f>
        <v>2593.4300000000003</v>
      </c>
    </row>
    <row r="44" spans="1:80">
      <c r="A44" s="9" t="s">
        <v>121</v>
      </c>
      <c r="B44" s="10">
        <f t="shared" ref="B44:BM44" si="14">SUM(B42:B43)</f>
        <v>0</v>
      </c>
      <c r="C44" s="10">
        <f t="shared" si="14"/>
        <v>13145.599999999999</v>
      </c>
      <c r="D44" s="10">
        <f t="shared" si="14"/>
        <v>5619.84</v>
      </c>
      <c r="E44" s="10">
        <f t="shared" si="14"/>
        <v>2569.9599999999996</v>
      </c>
      <c r="F44" s="10">
        <f t="shared" si="14"/>
        <v>2587.12</v>
      </c>
      <c r="G44" s="10">
        <f t="shared" si="14"/>
        <v>562.75</v>
      </c>
      <c r="H44" s="10">
        <f t="shared" si="14"/>
        <v>2971.6800000000003</v>
      </c>
      <c r="I44" s="10">
        <f t="shared" si="14"/>
        <v>5528.5400000000009</v>
      </c>
      <c r="J44" s="10">
        <f t="shared" si="14"/>
        <v>10543.990000000002</v>
      </c>
      <c r="K44" s="10">
        <f t="shared" si="14"/>
        <v>7583.49</v>
      </c>
      <c r="L44" s="10">
        <f t="shared" si="14"/>
        <v>1215.28</v>
      </c>
      <c r="M44" s="10">
        <f t="shared" si="14"/>
        <v>2832.5600000000004</v>
      </c>
      <c r="N44" s="10">
        <f t="shared" si="14"/>
        <v>6734.4800000000005</v>
      </c>
      <c r="O44" s="10">
        <f t="shared" si="14"/>
        <v>1371.69</v>
      </c>
      <c r="P44" s="10">
        <f t="shared" si="14"/>
        <v>33.799999999999997</v>
      </c>
      <c r="Q44" s="10">
        <f t="shared" si="14"/>
        <v>49.04</v>
      </c>
      <c r="R44" s="10">
        <f t="shared" si="14"/>
        <v>49.09</v>
      </c>
      <c r="S44" s="10">
        <f t="shared" si="14"/>
        <v>62.52</v>
      </c>
      <c r="T44" s="10">
        <f t="shared" si="14"/>
        <v>37.9</v>
      </c>
      <c r="U44" s="10">
        <f t="shared" si="14"/>
        <v>2101.73</v>
      </c>
      <c r="V44" s="10">
        <f t="shared" si="14"/>
        <v>1932</v>
      </c>
      <c r="W44" s="10">
        <f t="shared" si="14"/>
        <v>2208</v>
      </c>
      <c r="X44" s="10">
        <f t="shared" si="14"/>
        <v>5554.66</v>
      </c>
      <c r="Y44" s="10">
        <f t="shared" si="14"/>
        <v>1994.15</v>
      </c>
      <c r="Z44" s="10">
        <f t="shared" si="14"/>
        <v>3778.39</v>
      </c>
      <c r="AA44" s="10">
        <f t="shared" si="14"/>
        <v>1348.97</v>
      </c>
      <c r="AB44" s="10">
        <f t="shared" si="14"/>
        <v>9945.64</v>
      </c>
      <c r="AC44" s="10">
        <f t="shared" si="14"/>
        <v>0</v>
      </c>
      <c r="AD44" s="10">
        <f t="shared" si="14"/>
        <v>0</v>
      </c>
      <c r="AE44" s="10">
        <f t="shared" si="14"/>
        <v>0</v>
      </c>
      <c r="AF44" s="10">
        <f t="shared" si="14"/>
        <v>7706.96</v>
      </c>
      <c r="AG44" s="10">
        <f t="shared" si="14"/>
        <v>3786</v>
      </c>
      <c r="AH44" s="10">
        <f t="shared" si="14"/>
        <v>0</v>
      </c>
      <c r="AI44" s="10">
        <f t="shared" si="14"/>
        <v>26.17</v>
      </c>
      <c r="AJ44" s="10">
        <f t="shared" si="14"/>
        <v>1441.14</v>
      </c>
      <c r="AK44" s="10">
        <f t="shared" si="14"/>
        <v>954.56000000000006</v>
      </c>
      <c r="AL44" s="10">
        <f t="shared" si="14"/>
        <v>8183.18</v>
      </c>
      <c r="AM44" s="10">
        <f t="shared" si="14"/>
        <v>0</v>
      </c>
      <c r="AN44" s="10">
        <f t="shared" si="14"/>
        <v>1873.4499999999998</v>
      </c>
      <c r="AO44" s="10">
        <f t="shared" si="14"/>
        <v>0</v>
      </c>
      <c r="AP44" s="10">
        <f t="shared" si="14"/>
        <v>125.49</v>
      </c>
      <c r="AQ44" s="10">
        <f t="shared" si="14"/>
        <v>0</v>
      </c>
      <c r="AR44" s="10">
        <f t="shared" si="14"/>
        <v>0</v>
      </c>
      <c r="AS44" s="10">
        <f t="shared" si="14"/>
        <v>0</v>
      </c>
      <c r="AT44" s="10">
        <f t="shared" si="14"/>
        <v>72.180000000000007</v>
      </c>
      <c r="AU44" s="10">
        <f t="shared" si="14"/>
        <v>3501.9500000000003</v>
      </c>
      <c r="AV44" s="10">
        <f t="shared" si="14"/>
        <v>505.24</v>
      </c>
      <c r="AW44" s="10">
        <f t="shared" si="14"/>
        <v>1771.0900000000001</v>
      </c>
      <c r="AX44" s="10">
        <f t="shared" si="14"/>
        <v>0</v>
      </c>
      <c r="AY44" s="10">
        <f t="shared" si="14"/>
        <v>7840.35</v>
      </c>
      <c r="AZ44" s="10">
        <f t="shared" si="14"/>
        <v>438.3</v>
      </c>
      <c r="BA44" s="10">
        <f t="shared" si="14"/>
        <v>-112.19999999999999</v>
      </c>
      <c r="BB44" s="10">
        <f t="shared" si="14"/>
        <v>552.81999999999994</v>
      </c>
      <c r="BC44" s="10">
        <f t="shared" si="14"/>
        <v>552.95000000000005</v>
      </c>
      <c r="BD44" s="10">
        <f t="shared" si="14"/>
        <v>562.93000000000006</v>
      </c>
      <c r="BE44" s="10">
        <f t="shared" si="14"/>
        <v>1573.6799999999998</v>
      </c>
      <c r="BF44" s="10">
        <f t="shared" si="14"/>
        <v>2092.98</v>
      </c>
      <c r="BG44" s="10">
        <f t="shared" si="14"/>
        <v>0</v>
      </c>
      <c r="BH44" s="10">
        <f t="shared" si="14"/>
        <v>0</v>
      </c>
      <c r="BI44" s="10">
        <f t="shared" si="14"/>
        <v>0</v>
      </c>
      <c r="BJ44" s="10">
        <f t="shared" si="14"/>
        <v>0</v>
      </c>
      <c r="BK44" s="10">
        <f t="shared" si="14"/>
        <v>0</v>
      </c>
      <c r="BL44" s="10">
        <f t="shared" si="14"/>
        <v>0</v>
      </c>
      <c r="BM44" s="10">
        <f t="shared" si="14"/>
        <v>0</v>
      </c>
      <c r="BN44" s="10">
        <f t="shared" ref="BN44:BZ44" si="15">SUM(BN42:BN43)</f>
        <v>0</v>
      </c>
      <c r="BO44" s="10">
        <f t="shared" si="15"/>
        <v>0</v>
      </c>
      <c r="BP44" s="10">
        <f t="shared" si="15"/>
        <v>0</v>
      </c>
      <c r="BQ44" s="10">
        <f t="shared" si="15"/>
        <v>0</v>
      </c>
      <c r="BR44" s="10">
        <f t="shared" si="15"/>
        <v>0</v>
      </c>
      <c r="BS44" s="10">
        <f t="shared" si="15"/>
        <v>0</v>
      </c>
      <c r="BT44" s="10">
        <f t="shared" si="15"/>
        <v>0</v>
      </c>
      <c r="BU44" s="10">
        <f t="shared" si="15"/>
        <v>0</v>
      </c>
      <c r="BV44" s="10">
        <f t="shared" si="15"/>
        <v>0</v>
      </c>
      <c r="BW44" s="10">
        <f t="shared" si="15"/>
        <v>0</v>
      </c>
      <c r="BX44" s="10">
        <f t="shared" si="15"/>
        <v>0</v>
      </c>
      <c r="BY44" s="10">
        <f t="shared" si="15"/>
        <v>0</v>
      </c>
      <c r="BZ44" s="10">
        <f t="shared" si="15"/>
        <v>135812.09</v>
      </c>
    </row>
    <row r="45" spans="1:80">
      <c r="A45" s="6" t="s">
        <v>122</v>
      </c>
      <c r="B45" s="4"/>
      <c r="C45" s="79"/>
      <c r="D45" s="79"/>
      <c r="E45" s="79"/>
      <c r="F45" s="79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</row>
    <row r="46" spans="1:80">
      <c r="A46" s="7" t="s">
        <v>123</v>
      </c>
      <c r="B46" s="8">
        <v>0</v>
      </c>
      <c r="C46" s="8">
        <v>24952.75</v>
      </c>
      <c r="D46" s="8">
        <v>20663.54</v>
      </c>
      <c r="E46" s="8">
        <v>3124.29</v>
      </c>
      <c r="F46" s="8">
        <v>4538.3100000000004</v>
      </c>
      <c r="G46" s="8">
        <v>1371.24</v>
      </c>
      <c r="H46" s="8">
        <v>7432.45</v>
      </c>
      <c r="I46" s="8">
        <v>14718.96</v>
      </c>
      <c r="J46" s="8">
        <v>27284.81</v>
      </c>
      <c r="K46" s="8">
        <v>14978.98</v>
      </c>
      <c r="L46" s="8">
        <v>3320.34</v>
      </c>
      <c r="M46" s="8">
        <v>6923.86</v>
      </c>
      <c r="N46" s="8">
        <v>15128.94</v>
      </c>
      <c r="O46" s="8">
        <v>2335.06</v>
      </c>
      <c r="P46" s="8">
        <v>81.78</v>
      </c>
      <c r="Q46" s="8">
        <v>122.64</v>
      </c>
      <c r="R46" s="8">
        <v>122.66</v>
      </c>
      <c r="S46" s="8">
        <v>94.44</v>
      </c>
      <c r="T46" s="8">
        <v>144.34</v>
      </c>
      <c r="U46" s="8">
        <v>4594.2</v>
      </c>
      <c r="V46" s="8">
        <v>4770</v>
      </c>
      <c r="W46" s="8">
        <v>5466</v>
      </c>
      <c r="X46" s="8">
        <v>3238.16</v>
      </c>
      <c r="Y46" s="8">
        <v>1465.35</v>
      </c>
      <c r="Z46" s="8">
        <v>7362.26</v>
      </c>
      <c r="AA46" s="8">
        <v>2486.88</v>
      </c>
      <c r="AB46" s="8">
        <v>26279.72</v>
      </c>
      <c r="AC46" s="8">
        <v>0</v>
      </c>
      <c r="AD46" s="8">
        <v>0</v>
      </c>
      <c r="AE46" s="8">
        <v>0</v>
      </c>
      <c r="AF46" s="8">
        <v>15069.92</v>
      </c>
      <c r="AG46" s="8">
        <v>7906.2</v>
      </c>
      <c r="AH46" s="8">
        <v>0</v>
      </c>
      <c r="AI46" s="8">
        <v>0</v>
      </c>
      <c r="AJ46" s="8">
        <v>3218.16</v>
      </c>
      <c r="AK46" s="8">
        <v>1591.35</v>
      </c>
      <c r="AL46" s="8">
        <v>21209.78</v>
      </c>
      <c r="AM46" s="8">
        <v>0</v>
      </c>
      <c r="AN46" s="8">
        <v>4536.97</v>
      </c>
      <c r="AO46" s="8">
        <v>0</v>
      </c>
      <c r="AP46" s="8">
        <v>327.08</v>
      </c>
      <c r="AQ46" s="8">
        <v>0</v>
      </c>
      <c r="AR46" s="8">
        <v>0</v>
      </c>
      <c r="AS46" s="8">
        <v>0</v>
      </c>
      <c r="AT46" s="8">
        <v>-101.61</v>
      </c>
      <c r="AU46" s="8">
        <v>7847.96</v>
      </c>
      <c r="AV46" s="8">
        <v>1444.44</v>
      </c>
      <c r="AW46" s="8">
        <v>4336.2700000000004</v>
      </c>
      <c r="AX46" s="8">
        <v>0</v>
      </c>
      <c r="AY46" s="8">
        <v>24549.57</v>
      </c>
      <c r="AZ46" s="8">
        <v>408.9</v>
      </c>
      <c r="BA46" s="8">
        <v>1443</v>
      </c>
      <c r="BB46" s="8">
        <v>987.03</v>
      </c>
      <c r="BC46" s="8">
        <v>987.11</v>
      </c>
      <c r="BD46" s="8">
        <v>684.34</v>
      </c>
      <c r="BE46" s="8">
        <v>3424.9</v>
      </c>
      <c r="BF46" s="8">
        <v>6461.8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f t="shared" ref="BZ46:BZ54" si="16">SUM(B46:BY46)</f>
        <v>309335.13000000018</v>
      </c>
      <c r="CB46" s="77">
        <f>BZ46/$BZ$37</f>
        <v>0.17552135952789816</v>
      </c>
    </row>
    <row r="47" spans="1:80">
      <c r="A47" s="7" t="s">
        <v>124</v>
      </c>
      <c r="B47" s="8">
        <v>0</v>
      </c>
      <c r="C47" s="8">
        <v>214.07</v>
      </c>
      <c r="D47" s="8">
        <v>247.48</v>
      </c>
      <c r="E47" s="8">
        <v>11.05</v>
      </c>
      <c r="F47" s="8">
        <v>88.91</v>
      </c>
      <c r="G47" s="8">
        <v>0</v>
      </c>
      <c r="H47" s="8">
        <v>71.989999999999995</v>
      </c>
      <c r="I47" s="8">
        <v>204.84</v>
      </c>
      <c r="J47" s="8">
        <v>383.26</v>
      </c>
      <c r="K47" s="8">
        <v>245.49</v>
      </c>
      <c r="L47" s="8">
        <v>29.6</v>
      </c>
      <c r="M47" s="8">
        <v>44.32</v>
      </c>
      <c r="N47" s="8">
        <v>145.91</v>
      </c>
      <c r="O47" s="8">
        <v>30.77</v>
      </c>
      <c r="P47" s="8">
        <v>1.1399999999999999</v>
      </c>
      <c r="Q47" s="8">
        <v>1.7</v>
      </c>
      <c r="R47" s="8">
        <v>1.72</v>
      </c>
      <c r="S47" s="8">
        <v>1.32</v>
      </c>
      <c r="T47" s="8">
        <v>0</v>
      </c>
      <c r="U47" s="8">
        <v>49.48</v>
      </c>
      <c r="V47" s="8">
        <v>72</v>
      </c>
      <c r="W47" s="8">
        <v>78</v>
      </c>
      <c r="X47" s="8">
        <v>45.1</v>
      </c>
      <c r="Y47" s="8">
        <v>7.68</v>
      </c>
      <c r="Z47" s="8">
        <v>82.5</v>
      </c>
      <c r="AA47" s="8">
        <v>13.17</v>
      </c>
      <c r="AB47" s="8">
        <v>375.96</v>
      </c>
      <c r="AC47" s="8">
        <v>0</v>
      </c>
      <c r="AD47" s="8">
        <v>0</v>
      </c>
      <c r="AE47" s="8">
        <v>0</v>
      </c>
      <c r="AF47" s="8">
        <v>168.98</v>
      </c>
      <c r="AG47" s="8">
        <v>83.14</v>
      </c>
      <c r="AH47" s="8">
        <v>0</v>
      </c>
      <c r="AI47" s="8">
        <v>0</v>
      </c>
      <c r="AJ47" s="8">
        <v>46.56</v>
      </c>
      <c r="AK47" s="8">
        <v>19.239999999999998</v>
      </c>
      <c r="AL47" s="8">
        <v>214.68</v>
      </c>
      <c r="AM47" s="8">
        <v>0</v>
      </c>
      <c r="AN47" s="8">
        <v>60.51</v>
      </c>
      <c r="AO47" s="8">
        <v>0</v>
      </c>
      <c r="AP47" s="8">
        <v>4.5599999999999996</v>
      </c>
      <c r="AQ47" s="8">
        <v>0</v>
      </c>
      <c r="AR47" s="8">
        <v>0</v>
      </c>
      <c r="AS47" s="8">
        <v>0</v>
      </c>
      <c r="AT47" s="8">
        <v>-18.66</v>
      </c>
      <c r="AU47" s="8">
        <v>114.66</v>
      </c>
      <c r="AV47" s="8">
        <v>18.96</v>
      </c>
      <c r="AW47" s="8">
        <v>62.74</v>
      </c>
      <c r="AX47" s="8">
        <v>0</v>
      </c>
      <c r="AY47" s="8">
        <v>301.79000000000002</v>
      </c>
      <c r="AZ47" s="8">
        <v>5.7</v>
      </c>
      <c r="BA47" s="8">
        <v>33.200000000000003</v>
      </c>
      <c r="BB47" s="8">
        <v>13.85</v>
      </c>
      <c r="BC47" s="8">
        <v>14</v>
      </c>
      <c r="BD47" s="8">
        <v>9.7200000000000006</v>
      </c>
      <c r="BE47" s="8">
        <v>48.57</v>
      </c>
      <c r="BF47" s="8">
        <v>70.58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0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0</v>
      </c>
      <c r="BY47" s="8">
        <v>0</v>
      </c>
      <c r="BZ47" s="8">
        <f t="shared" si="16"/>
        <v>3720.2399999999989</v>
      </c>
      <c r="CB47" s="77">
        <f t="shared" ref="CB47:CB54" si="17">BZ47/$BZ$37</f>
        <v>2.1109195795836937E-3</v>
      </c>
    </row>
    <row r="48" spans="1:80">
      <c r="A48" s="7" t="s">
        <v>125</v>
      </c>
      <c r="B48" s="8">
        <v>0</v>
      </c>
      <c r="C48" s="8">
        <v>99.49</v>
      </c>
      <c r="D48" s="8">
        <v>129.31</v>
      </c>
      <c r="E48" s="8">
        <v>25.89</v>
      </c>
      <c r="F48" s="8">
        <v>54.21</v>
      </c>
      <c r="G48" s="8">
        <v>6.38</v>
      </c>
      <c r="H48" s="8">
        <v>42.55</v>
      </c>
      <c r="I48" s="8">
        <v>120.96</v>
      </c>
      <c r="J48" s="8">
        <v>226.38</v>
      </c>
      <c r="K48" s="8">
        <v>146.49</v>
      </c>
      <c r="L48" s="8">
        <v>17.48</v>
      </c>
      <c r="M48" s="8">
        <v>37.08</v>
      </c>
      <c r="N48" s="8">
        <v>95.99</v>
      </c>
      <c r="O48" s="8">
        <v>18.45</v>
      </c>
      <c r="P48" s="8">
        <v>0.68</v>
      </c>
      <c r="Q48" s="8">
        <v>1</v>
      </c>
      <c r="R48" s="8">
        <v>1</v>
      </c>
      <c r="S48" s="8">
        <v>0</v>
      </c>
      <c r="T48" s="8">
        <v>0.66</v>
      </c>
      <c r="U48" s="8">
        <v>29.2</v>
      </c>
      <c r="V48" s="8">
        <v>42</v>
      </c>
      <c r="W48" s="8">
        <v>48</v>
      </c>
      <c r="X48" s="8">
        <v>26.6</v>
      </c>
      <c r="Y48" s="8">
        <v>1.55</v>
      </c>
      <c r="Z48" s="8">
        <v>47.87</v>
      </c>
      <c r="AA48" s="8">
        <v>17.48</v>
      </c>
      <c r="AB48" s="8">
        <v>222.04</v>
      </c>
      <c r="AC48" s="8">
        <v>0</v>
      </c>
      <c r="AD48" s="8">
        <v>0</v>
      </c>
      <c r="AE48" s="8">
        <v>0</v>
      </c>
      <c r="AF48" s="8">
        <v>106.69</v>
      </c>
      <c r="AG48" s="8">
        <v>51.28</v>
      </c>
      <c r="AH48" s="8">
        <v>0</v>
      </c>
      <c r="AI48" s="8">
        <v>0</v>
      </c>
      <c r="AJ48" s="8">
        <v>27.48</v>
      </c>
      <c r="AK48" s="8">
        <v>12.53</v>
      </c>
      <c r="AL48" s="8">
        <v>93.78</v>
      </c>
      <c r="AM48" s="8">
        <v>0</v>
      </c>
      <c r="AN48" s="8">
        <v>36.35</v>
      </c>
      <c r="AO48" s="8">
        <v>0</v>
      </c>
      <c r="AP48" s="8">
        <v>2.68</v>
      </c>
      <c r="AQ48" s="8">
        <v>0</v>
      </c>
      <c r="AR48" s="8">
        <v>0</v>
      </c>
      <c r="AS48" s="8">
        <v>0</v>
      </c>
      <c r="AT48" s="8">
        <v>-5.04</v>
      </c>
      <c r="AU48" s="8">
        <v>51.57</v>
      </c>
      <c r="AV48" s="8">
        <v>2.87</v>
      </c>
      <c r="AW48" s="8">
        <v>1.7</v>
      </c>
      <c r="AX48" s="8">
        <v>0</v>
      </c>
      <c r="AY48" s="8">
        <v>163.26</v>
      </c>
      <c r="AZ48" s="8">
        <v>3.4</v>
      </c>
      <c r="BA48" s="8">
        <v>69.260000000000005</v>
      </c>
      <c r="BB48" s="8">
        <v>7.53</v>
      </c>
      <c r="BC48" s="8">
        <v>7.5</v>
      </c>
      <c r="BD48" s="8">
        <v>5.0999999999999996</v>
      </c>
      <c r="BE48" s="8">
        <v>26.52</v>
      </c>
      <c r="BF48" s="8">
        <v>46.06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f t="shared" si="16"/>
        <v>2169.2599999999998</v>
      </c>
      <c r="CB48" s="77">
        <f t="shared" si="17"/>
        <v>1.2308704296517762E-3</v>
      </c>
    </row>
    <row r="49" spans="1:80">
      <c r="A49" s="7" t="s">
        <v>126</v>
      </c>
      <c r="B49" s="8">
        <v>0</v>
      </c>
      <c r="C49" s="8">
        <v>720.31</v>
      </c>
      <c r="D49" s="8">
        <v>278.23</v>
      </c>
      <c r="E49" s="8">
        <v>67.77</v>
      </c>
      <c r="F49" s="8">
        <v>112.35</v>
      </c>
      <c r="G49" s="8">
        <v>26.11</v>
      </c>
      <c r="H49" s="8">
        <v>127.66</v>
      </c>
      <c r="I49" s="8">
        <v>256.32</v>
      </c>
      <c r="J49" s="8">
        <v>356.59</v>
      </c>
      <c r="K49" s="8">
        <v>283.49</v>
      </c>
      <c r="L49" s="8">
        <v>45.13</v>
      </c>
      <c r="M49" s="8">
        <v>119.81</v>
      </c>
      <c r="N49" s="8">
        <v>285.44</v>
      </c>
      <c r="O49" s="8">
        <v>44.03</v>
      </c>
      <c r="P49" s="8">
        <v>1.52</v>
      </c>
      <c r="Q49" s="8">
        <v>2.2200000000000002</v>
      </c>
      <c r="R49" s="8">
        <v>2.2200000000000002</v>
      </c>
      <c r="S49" s="8">
        <v>3</v>
      </c>
      <c r="T49" s="8">
        <v>2.74</v>
      </c>
      <c r="U49" s="8">
        <v>88.92</v>
      </c>
      <c r="V49" s="8">
        <v>48</v>
      </c>
      <c r="W49" s="8">
        <v>54</v>
      </c>
      <c r="X49" s="8">
        <v>208.66</v>
      </c>
      <c r="Y49" s="8">
        <v>39.69</v>
      </c>
      <c r="Z49" s="8">
        <v>98.02</v>
      </c>
      <c r="AA49" s="8">
        <v>49.92</v>
      </c>
      <c r="AB49" s="8">
        <v>370.04</v>
      </c>
      <c r="AC49" s="8">
        <v>0</v>
      </c>
      <c r="AD49" s="8">
        <v>0</v>
      </c>
      <c r="AE49" s="8">
        <v>0</v>
      </c>
      <c r="AF49" s="8">
        <v>353.54</v>
      </c>
      <c r="AG49" s="8">
        <v>157.6</v>
      </c>
      <c r="AH49" s="8">
        <v>0</v>
      </c>
      <c r="AI49" s="8">
        <v>0</v>
      </c>
      <c r="AJ49" s="8">
        <v>62.08</v>
      </c>
      <c r="AK49" s="8">
        <v>37</v>
      </c>
      <c r="AL49" s="8">
        <v>378</v>
      </c>
      <c r="AM49" s="8">
        <v>0</v>
      </c>
      <c r="AN49" s="8">
        <v>82.84</v>
      </c>
      <c r="AO49" s="8">
        <v>0</v>
      </c>
      <c r="AP49" s="8">
        <v>5.68</v>
      </c>
      <c r="AQ49" s="8">
        <v>0</v>
      </c>
      <c r="AR49" s="8">
        <v>0</v>
      </c>
      <c r="AS49" s="8">
        <v>0</v>
      </c>
      <c r="AT49" s="8">
        <v>0.64</v>
      </c>
      <c r="AU49" s="8">
        <v>94.04</v>
      </c>
      <c r="AV49" s="8">
        <v>14.86</v>
      </c>
      <c r="AW49" s="8">
        <v>60.08</v>
      </c>
      <c r="AX49" s="8">
        <v>0</v>
      </c>
      <c r="AY49" s="8">
        <v>322.3</v>
      </c>
      <c r="AZ49" s="8">
        <v>13.7</v>
      </c>
      <c r="BA49" s="8">
        <v>282.52</v>
      </c>
      <c r="BB49" s="8">
        <v>23.39</v>
      </c>
      <c r="BC49" s="8">
        <v>23.48</v>
      </c>
      <c r="BD49" s="8">
        <v>23.28</v>
      </c>
      <c r="BE49" s="8">
        <v>68.95</v>
      </c>
      <c r="BF49" s="8">
        <v>95.98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  <c r="BN49" s="8">
        <v>0</v>
      </c>
      <c r="BO49" s="8">
        <v>0</v>
      </c>
      <c r="BP49" s="8">
        <v>0</v>
      </c>
      <c r="BQ49" s="8">
        <v>0</v>
      </c>
      <c r="BR49" s="8">
        <v>0</v>
      </c>
      <c r="BS49" s="8">
        <v>0</v>
      </c>
      <c r="BT49" s="8">
        <v>0</v>
      </c>
      <c r="BU49" s="8">
        <v>0</v>
      </c>
      <c r="BV49" s="8">
        <v>0</v>
      </c>
      <c r="BW49" s="8">
        <v>0</v>
      </c>
      <c r="BX49" s="8">
        <v>0</v>
      </c>
      <c r="BY49" s="8">
        <v>0</v>
      </c>
      <c r="BZ49" s="8">
        <f t="shared" si="16"/>
        <v>5792.1499999999987</v>
      </c>
      <c r="CB49" s="77">
        <f t="shared" si="17"/>
        <v>3.2865521694529633E-3</v>
      </c>
    </row>
    <row r="50" spans="1:80">
      <c r="A50" s="7" t="s">
        <v>127</v>
      </c>
      <c r="B50" s="8">
        <v>0</v>
      </c>
      <c r="C50" s="8">
        <v>18983.38</v>
      </c>
      <c r="D50" s="8">
        <v>6063.5</v>
      </c>
      <c r="E50" s="8">
        <v>2490.38</v>
      </c>
      <c r="F50" s="8">
        <v>2829.39</v>
      </c>
      <c r="G50" s="8">
        <v>0</v>
      </c>
      <c r="H50" s="8">
        <v>3458.43</v>
      </c>
      <c r="I50" s="8">
        <v>6290.95</v>
      </c>
      <c r="J50" s="8">
        <v>9574.32</v>
      </c>
      <c r="K50" s="8">
        <v>7148.15</v>
      </c>
      <c r="L50" s="8">
        <v>1175.77</v>
      </c>
      <c r="M50" s="8">
        <v>3863.36</v>
      </c>
      <c r="N50" s="8">
        <v>8689.0400000000009</v>
      </c>
      <c r="O50" s="8">
        <v>1068.4000000000001</v>
      </c>
      <c r="P50" s="8">
        <v>37.56</v>
      </c>
      <c r="Q50" s="8">
        <v>54.28</v>
      </c>
      <c r="R50" s="8">
        <v>54.26</v>
      </c>
      <c r="S50" s="8">
        <v>83.53</v>
      </c>
      <c r="T50" s="8">
        <v>0</v>
      </c>
      <c r="U50" s="8">
        <v>2387.17</v>
      </c>
      <c r="V50" s="8">
        <v>1530</v>
      </c>
      <c r="W50" s="8">
        <v>1752</v>
      </c>
      <c r="X50" s="8">
        <v>7178.24</v>
      </c>
      <c r="Y50" s="8">
        <v>2358</v>
      </c>
      <c r="Z50" s="8">
        <v>3991.87</v>
      </c>
      <c r="AA50" s="8">
        <v>1665.9</v>
      </c>
      <c r="AB50" s="8">
        <v>11684.52</v>
      </c>
      <c r="AC50" s="8">
        <v>0</v>
      </c>
      <c r="AD50" s="8">
        <v>0</v>
      </c>
      <c r="AE50" s="8">
        <v>0</v>
      </c>
      <c r="AF50" s="8">
        <v>9003.74</v>
      </c>
      <c r="AG50" s="8">
        <v>4563.2</v>
      </c>
      <c r="AH50" s="8">
        <v>0</v>
      </c>
      <c r="AI50" s="8">
        <v>0</v>
      </c>
      <c r="AJ50" s="8">
        <v>1223.97</v>
      </c>
      <c r="AK50" s="8">
        <v>905.97</v>
      </c>
      <c r="AL50" s="8">
        <v>10944.6</v>
      </c>
      <c r="AM50" s="8">
        <v>0</v>
      </c>
      <c r="AN50" s="8">
        <v>1746.86</v>
      </c>
      <c r="AO50" s="8">
        <v>0</v>
      </c>
      <c r="AP50" s="8">
        <v>137.69999999999999</v>
      </c>
      <c r="AQ50" s="8">
        <v>0</v>
      </c>
      <c r="AR50" s="8">
        <v>0</v>
      </c>
      <c r="AS50" s="8">
        <v>0</v>
      </c>
      <c r="AT50" s="8">
        <v>71.38</v>
      </c>
      <c r="AU50" s="8">
        <v>3833.54</v>
      </c>
      <c r="AV50" s="8">
        <v>455.71</v>
      </c>
      <c r="AW50" s="8">
        <v>2215.71</v>
      </c>
      <c r="AX50" s="8">
        <v>0</v>
      </c>
      <c r="AY50" s="8">
        <v>8353.5300000000007</v>
      </c>
      <c r="AZ50" s="8">
        <v>581.29999999999995</v>
      </c>
      <c r="BA50" s="8">
        <v>-19893.18</v>
      </c>
      <c r="BB50" s="8">
        <v>642.54</v>
      </c>
      <c r="BC50" s="8">
        <v>642.35</v>
      </c>
      <c r="BD50" s="8">
        <v>675.94</v>
      </c>
      <c r="BE50" s="8">
        <v>1755.91</v>
      </c>
      <c r="BF50" s="8">
        <v>2299.5100000000002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8">
        <v>0</v>
      </c>
      <c r="BN50" s="8">
        <v>0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f t="shared" si="16"/>
        <v>134572.68</v>
      </c>
      <c r="CB50" s="77">
        <f t="shared" si="17"/>
        <v>7.6358542752363021E-2</v>
      </c>
    </row>
    <row r="51" spans="1:80">
      <c r="A51" s="7" t="s">
        <v>128</v>
      </c>
      <c r="B51" s="8">
        <v>0</v>
      </c>
      <c r="C51" s="8">
        <v>605.58000000000004</v>
      </c>
      <c r="D51" s="8">
        <v>184.15</v>
      </c>
      <c r="E51" s="8">
        <v>82.17</v>
      </c>
      <c r="F51" s="8">
        <v>38.369999999999997</v>
      </c>
      <c r="G51" s="8">
        <v>29.45</v>
      </c>
      <c r="H51" s="8">
        <v>123.85</v>
      </c>
      <c r="I51" s="8">
        <v>254.14</v>
      </c>
      <c r="J51" s="8">
        <v>413.54</v>
      </c>
      <c r="K51" s="8">
        <v>20.59</v>
      </c>
      <c r="L51" s="8">
        <v>23.04</v>
      </c>
      <c r="M51" s="8">
        <v>0</v>
      </c>
      <c r="N51" s="8">
        <v>111.59</v>
      </c>
      <c r="O51" s="8">
        <v>11.7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88.37</v>
      </c>
      <c r="V51" s="8">
        <v>48</v>
      </c>
      <c r="W51" s="8">
        <v>54</v>
      </c>
      <c r="X51" s="8">
        <v>123.07</v>
      </c>
      <c r="Y51" s="8">
        <v>79</v>
      </c>
      <c r="Z51" s="8">
        <v>83.93</v>
      </c>
      <c r="AA51" s="8">
        <v>36.85</v>
      </c>
      <c r="AB51" s="8">
        <v>197.16</v>
      </c>
      <c r="AC51" s="8">
        <v>0</v>
      </c>
      <c r="AD51" s="8">
        <v>0</v>
      </c>
      <c r="AE51" s="8">
        <v>0</v>
      </c>
      <c r="AF51" s="8">
        <v>285.39999999999998</v>
      </c>
      <c r="AG51" s="8">
        <v>0</v>
      </c>
      <c r="AH51" s="8">
        <v>0</v>
      </c>
      <c r="AI51" s="8">
        <v>0</v>
      </c>
      <c r="AJ51" s="8">
        <v>93.32</v>
      </c>
      <c r="AK51" s="8">
        <v>0</v>
      </c>
      <c r="AL51" s="8">
        <v>148.91999999999999</v>
      </c>
      <c r="AM51" s="8">
        <v>0</v>
      </c>
      <c r="AN51" s="8">
        <v>0</v>
      </c>
      <c r="AO51" s="8">
        <v>0</v>
      </c>
      <c r="AP51" s="8">
        <v>14.32</v>
      </c>
      <c r="AQ51" s="8">
        <v>0</v>
      </c>
      <c r="AR51" s="8">
        <v>0</v>
      </c>
      <c r="AS51" s="8">
        <v>0</v>
      </c>
      <c r="AT51" s="8">
        <v>46.42</v>
      </c>
      <c r="AU51" s="8">
        <v>59.39</v>
      </c>
      <c r="AV51" s="8">
        <v>7.46</v>
      </c>
      <c r="AW51" s="8">
        <v>0</v>
      </c>
      <c r="AX51" s="8">
        <v>0</v>
      </c>
      <c r="AY51" s="8">
        <v>65.44</v>
      </c>
      <c r="AZ51" s="8">
        <v>0</v>
      </c>
      <c r="BA51" s="8">
        <v>2463.08</v>
      </c>
      <c r="BB51" s="8">
        <v>29.62</v>
      </c>
      <c r="BC51" s="8">
        <v>0</v>
      </c>
      <c r="BD51" s="8">
        <v>0</v>
      </c>
      <c r="BE51" s="8">
        <v>100.75</v>
      </c>
      <c r="BF51" s="8">
        <v>66.930000000000007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8">
        <v>0</v>
      </c>
      <c r="BM51" s="8">
        <v>0</v>
      </c>
      <c r="BN51" s="8">
        <v>0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8">
        <f t="shared" si="16"/>
        <v>5989.6</v>
      </c>
      <c r="CB51" s="77">
        <f t="shared" si="17"/>
        <v>3.3985882399722857E-3</v>
      </c>
    </row>
    <row r="52" spans="1:80">
      <c r="A52" s="7" t="s">
        <v>129</v>
      </c>
      <c r="B52" s="8">
        <v>0</v>
      </c>
      <c r="C52" s="8">
        <v>1152.8499999999999</v>
      </c>
      <c r="D52" s="8">
        <v>430.48</v>
      </c>
      <c r="E52" s="8">
        <v>79.31</v>
      </c>
      <c r="F52" s="8">
        <v>163.21</v>
      </c>
      <c r="G52" s="8">
        <v>33.590000000000003</v>
      </c>
      <c r="H52" s="8">
        <v>198.14</v>
      </c>
      <c r="I52" s="8">
        <v>398.25</v>
      </c>
      <c r="J52" s="8">
        <v>614.59</v>
      </c>
      <c r="K52" s="8">
        <v>431.95</v>
      </c>
      <c r="L52" s="8">
        <v>38.83</v>
      </c>
      <c r="M52" s="8">
        <v>172.21</v>
      </c>
      <c r="N52" s="8">
        <v>422.38</v>
      </c>
      <c r="O52" s="8">
        <v>66.2</v>
      </c>
      <c r="P52" s="8">
        <v>2.4700000000000002</v>
      </c>
      <c r="Q52" s="8">
        <v>3.56</v>
      </c>
      <c r="R52" s="8">
        <v>3.57</v>
      </c>
      <c r="S52" s="8">
        <v>4.32</v>
      </c>
      <c r="T52" s="8">
        <v>3.39</v>
      </c>
      <c r="U52" s="8">
        <v>118.37</v>
      </c>
      <c r="V52" s="8">
        <v>0</v>
      </c>
      <c r="W52" s="8">
        <v>0</v>
      </c>
      <c r="X52" s="8">
        <v>324.20999999999998</v>
      </c>
      <c r="Y52" s="8">
        <v>63</v>
      </c>
      <c r="Z52" s="8">
        <v>151.09</v>
      </c>
      <c r="AA52" s="8">
        <v>60.21</v>
      </c>
      <c r="AB52" s="8">
        <v>576.86</v>
      </c>
      <c r="AC52" s="8">
        <v>0</v>
      </c>
      <c r="AD52" s="8">
        <v>0</v>
      </c>
      <c r="AE52" s="8">
        <v>0</v>
      </c>
      <c r="AF52" s="8">
        <v>462.09</v>
      </c>
      <c r="AG52" s="8">
        <v>223.13</v>
      </c>
      <c r="AH52" s="8">
        <v>0</v>
      </c>
      <c r="AI52" s="8">
        <v>0</v>
      </c>
      <c r="AJ52" s="8">
        <v>96.43</v>
      </c>
      <c r="AK52" s="8">
        <v>56.85</v>
      </c>
      <c r="AL52" s="8">
        <v>561.62</v>
      </c>
      <c r="AM52" s="8">
        <v>0</v>
      </c>
      <c r="AN52" s="8">
        <v>127.02</v>
      </c>
      <c r="AO52" s="8">
        <v>0</v>
      </c>
      <c r="AP52" s="8">
        <v>9.14</v>
      </c>
      <c r="AQ52" s="8">
        <v>0</v>
      </c>
      <c r="AR52" s="8">
        <v>0</v>
      </c>
      <c r="AS52" s="8">
        <v>0</v>
      </c>
      <c r="AT52" s="8">
        <v>65.09</v>
      </c>
      <c r="AU52" s="8">
        <v>100.15</v>
      </c>
      <c r="AV52" s="8">
        <v>31.32</v>
      </c>
      <c r="AW52" s="8">
        <v>92.92</v>
      </c>
      <c r="AX52" s="8">
        <v>0</v>
      </c>
      <c r="AY52" s="8">
        <v>500.48</v>
      </c>
      <c r="AZ52" s="8">
        <v>18.5</v>
      </c>
      <c r="BA52" s="8">
        <v>-1800.1</v>
      </c>
      <c r="BB52" s="8">
        <v>36.24</v>
      </c>
      <c r="BC52" s="8">
        <v>36.159999999999997</v>
      </c>
      <c r="BD52" s="8">
        <v>36.14</v>
      </c>
      <c r="BE52" s="8">
        <v>106.16</v>
      </c>
      <c r="BF52" s="8">
        <v>142.63999999999999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8">
        <v>0</v>
      </c>
      <c r="BN52" s="8">
        <v>0</v>
      </c>
      <c r="BO52" s="8">
        <v>0</v>
      </c>
      <c r="BP52" s="8">
        <v>0</v>
      </c>
      <c r="BQ52" s="8">
        <v>0</v>
      </c>
      <c r="BR52" s="8">
        <v>0</v>
      </c>
      <c r="BS52" s="8">
        <v>0</v>
      </c>
      <c r="BT52" s="8">
        <v>0</v>
      </c>
      <c r="BU52" s="8">
        <v>0</v>
      </c>
      <c r="BV52" s="8">
        <v>0</v>
      </c>
      <c r="BW52" s="8">
        <v>0</v>
      </c>
      <c r="BX52" s="8">
        <v>0</v>
      </c>
      <c r="BY52" s="8">
        <v>0</v>
      </c>
      <c r="BZ52" s="8">
        <f t="shared" si="16"/>
        <v>6415.02</v>
      </c>
      <c r="CB52" s="77">
        <f t="shared" si="17"/>
        <v>3.6399778835292862E-3</v>
      </c>
    </row>
    <row r="53" spans="1:80">
      <c r="A53" s="7" t="s">
        <v>130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-1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0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0</v>
      </c>
      <c r="BX53" s="8">
        <v>0</v>
      </c>
      <c r="BY53" s="8">
        <v>0</v>
      </c>
      <c r="BZ53" s="8">
        <f t="shared" si="16"/>
        <v>-1</v>
      </c>
      <c r="CB53" s="77">
        <f t="shared" si="17"/>
        <v>-5.6741489247567208E-7</v>
      </c>
    </row>
    <row r="54" spans="1:80">
      <c r="A54" s="7" t="s">
        <v>131</v>
      </c>
      <c r="B54" s="8">
        <v>0</v>
      </c>
      <c r="C54" s="8">
        <v>9011.74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1317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-317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f t="shared" si="16"/>
        <v>10011.74</v>
      </c>
      <c r="CB54" s="77">
        <f t="shared" si="17"/>
        <v>5.6808103755943851E-3</v>
      </c>
    </row>
    <row r="55" spans="1:80">
      <c r="A55" s="9" t="s">
        <v>132</v>
      </c>
      <c r="B55" s="10">
        <f t="shared" ref="B55:BM55" si="18">SUM(B46:B54)</f>
        <v>0</v>
      </c>
      <c r="C55" s="10">
        <f t="shared" si="18"/>
        <v>55740.17</v>
      </c>
      <c r="D55" s="10">
        <f t="shared" si="18"/>
        <v>27996.690000000002</v>
      </c>
      <c r="E55" s="10">
        <f t="shared" si="18"/>
        <v>5880.8600000000006</v>
      </c>
      <c r="F55" s="10">
        <f t="shared" si="18"/>
        <v>7824.75</v>
      </c>
      <c r="G55" s="10">
        <f t="shared" si="18"/>
        <v>1466.77</v>
      </c>
      <c r="H55" s="10">
        <f t="shared" si="18"/>
        <v>11455.07</v>
      </c>
      <c r="I55" s="10">
        <f t="shared" si="18"/>
        <v>22244.42</v>
      </c>
      <c r="J55" s="10">
        <f t="shared" si="18"/>
        <v>38853.49</v>
      </c>
      <c r="K55" s="10">
        <f t="shared" si="18"/>
        <v>23255.14</v>
      </c>
      <c r="L55" s="10">
        <f t="shared" si="18"/>
        <v>4650.1899999999996</v>
      </c>
      <c r="M55" s="10">
        <f t="shared" si="18"/>
        <v>11160.64</v>
      </c>
      <c r="N55" s="10">
        <f t="shared" si="18"/>
        <v>24879.29</v>
      </c>
      <c r="O55" s="10">
        <f t="shared" si="18"/>
        <v>3574.6099999999997</v>
      </c>
      <c r="P55" s="10">
        <f t="shared" si="18"/>
        <v>125.15</v>
      </c>
      <c r="Q55" s="10">
        <f t="shared" si="18"/>
        <v>185.4</v>
      </c>
      <c r="R55" s="10">
        <f t="shared" si="18"/>
        <v>185.42999999999998</v>
      </c>
      <c r="S55" s="10">
        <f t="shared" si="18"/>
        <v>186.60999999999999</v>
      </c>
      <c r="T55" s="10">
        <f t="shared" si="18"/>
        <v>151.13</v>
      </c>
      <c r="U55" s="10">
        <f t="shared" si="18"/>
        <v>7355.7099999999991</v>
      </c>
      <c r="V55" s="10">
        <f t="shared" si="18"/>
        <v>6510</v>
      </c>
      <c r="W55" s="10">
        <f t="shared" si="18"/>
        <v>7452</v>
      </c>
      <c r="X55" s="10">
        <f t="shared" si="18"/>
        <v>11144.039999999997</v>
      </c>
      <c r="Y55" s="10">
        <f t="shared" si="18"/>
        <v>5331.27</v>
      </c>
      <c r="Z55" s="10">
        <f t="shared" si="18"/>
        <v>11817.54</v>
      </c>
      <c r="AA55" s="10">
        <f t="shared" si="18"/>
        <v>4330.4100000000008</v>
      </c>
      <c r="AB55" s="10">
        <f t="shared" si="18"/>
        <v>39706.300000000003</v>
      </c>
      <c r="AC55" s="10">
        <f t="shared" si="18"/>
        <v>0</v>
      </c>
      <c r="AD55" s="10">
        <f t="shared" si="18"/>
        <v>0</v>
      </c>
      <c r="AE55" s="10">
        <f t="shared" si="18"/>
        <v>0</v>
      </c>
      <c r="AF55" s="10">
        <f t="shared" si="18"/>
        <v>25450.360000000004</v>
      </c>
      <c r="AG55" s="10">
        <f t="shared" si="18"/>
        <v>12984.549999999997</v>
      </c>
      <c r="AH55" s="10">
        <f t="shared" si="18"/>
        <v>0</v>
      </c>
      <c r="AI55" s="10">
        <f t="shared" si="18"/>
        <v>0</v>
      </c>
      <c r="AJ55" s="10">
        <f t="shared" si="18"/>
        <v>4768</v>
      </c>
      <c r="AK55" s="10">
        <f t="shared" si="18"/>
        <v>2622.94</v>
      </c>
      <c r="AL55" s="10">
        <f t="shared" si="18"/>
        <v>33551.379999999997</v>
      </c>
      <c r="AM55" s="10">
        <f t="shared" si="18"/>
        <v>0</v>
      </c>
      <c r="AN55" s="10">
        <f t="shared" si="18"/>
        <v>6590.5500000000011</v>
      </c>
      <c r="AO55" s="10">
        <f t="shared" si="18"/>
        <v>0</v>
      </c>
      <c r="AP55" s="10">
        <f t="shared" si="18"/>
        <v>501.15999999999997</v>
      </c>
      <c r="AQ55" s="10">
        <f t="shared" si="18"/>
        <v>0</v>
      </c>
      <c r="AR55" s="10">
        <f t="shared" si="18"/>
        <v>0</v>
      </c>
      <c r="AS55" s="10">
        <f t="shared" si="18"/>
        <v>0</v>
      </c>
      <c r="AT55" s="10">
        <f t="shared" si="18"/>
        <v>58.22</v>
      </c>
      <c r="AU55" s="10">
        <f t="shared" si="18"/>
        <v>12101.31</v>
      </c>
      <c r="AV55" s="10">
        <f t="shared" si="18"/>
        <v>1975.62</v>
      </c>
      <c r="AW55" s="10">
        <f t="shared" si="18"/>
        <v>6769.42</v>
      </c>
      <c r="AX55" s="10">
        <f t="shared" si="18"/>
        <v>0</v>
      </c>
      <c r="AY55" s="10">
        <f t="shared" si="18"/>
        <v>34256.370000000003</v>
      </c>
      <c r="AZ55" s="10">
        <f t="shared" si="18"/>
        <v>1031.5</v>
      </c>
      <c r="BA55" s="10">
        <f t="shared" si="18"/>
        <v>-17720.22</v>
      </c>
      <c r="BB55" s="10">
        <f t="shared" si="18"/>
        <v>1740.1999999999998</v>
      </c>
      <c r="BC55" s="10">
        <f t="shared" si="18"/>
        <v>1710.6000000000001</v>
      </c>
      <c r="BD55" s="10">
        <f t="shared" si="18"/>
        <v>1434.5200000000002</v>
      </c>
      <c r="BE55" s="10">
        <f t="shared" si="18"/>
        <v>5531.76</v>
      </c>
      <c r="BF55" s="10">
        <f t="shared" si="18"/>
        <v>9183.5</v>
      </c>
      <c r="BG55" s="10">
        <f t="shared" si="18"/>
        <v>0</v>
      </c>
      <c r="BH55" s="10">
        <f t="shared" si="18"/>
        <v>0</v>
      </c>
      <c r="BI55" s="10">
        <f t="shared" si="18"/>
        <v>0</v>
      </c>
      <c r="BJ55" s="10">
        <f t="shared" si="18"/>
        <v>0</v>
      </c>
      <c r="BK55" s="10">
        <f t="shared" si="18"/>
        <v>0</v>
      </c>
      <c r="BL55" s="10">
        <f t="shared" si="18"/>
        <v>0</v>
      </c>
      <c r="BM55" s="10">
        <f t="shared" si="18"/>
        <v>0</v>
      </c>
      <c r="BN55" s="10">
        <f t="shared" ref="BN55:BZ55" si="19">SUM(BN46:BN54)</f>
        <v>0</v>
      </c>
      <c r="BO55" s="10">
        <f t="shared" si="19"/>
        <v>0</v>
      </c>
      <c r="BP55" s="10">
        <f t="shared" si="19"/>
        <v>0</v>
      </c>
      <c r="BQ55" s="10">
        <f t="shared" si="19"/>
        <v>0</v>
      </c>
      <c r="BR55" s="10">
        <f t="shared" si="19"/>
        <v>0</v>
      </c>
      <c r="BS55" s="10">
        <f t="shared" si="19"/>
        <v>0</v>
      </c>
      <c r="BT55" s="10">
        <f t="shared" si="19"/>
        <v>0</v>
      </c>
      <c r="BU55" s="10">
        <f t="shared" si="19"/>
        <v>0</v>
      </c>
      <c r="BV55" s="10">
        <f t="shared" si="19"/>
        <v>0</v>
      </c>
      <c r="BW55" s="10">
        <f t="shared" si="19"/>
        <v>0</v>
      </c>
      <c r="BX55" s="10">
        <f t="shared" si="19"/>
        <v>0</v>
      </c>
      <c r="BY55" s="10">
        <f t="shared" si="19"/>
        <v>0</v>
      </c>
      <c r="BZ55" s="10">
        <f t="shared" si="19"/>
        <v>478004.82000000018</v>
      </c>
    </row>
    <row r="56" spans="1:80">
      <c r="A56" s="6" t="s">
        <v>133</v>
      </c>
      <c r="B56" s="4"/>
      <c r="C56" s="79"/>
      <c r="D56" s="79"/>
      <c r="E56" s="79"/>
      <c r="F56" s="79"/>
      <c r="G56" s="79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</row>
    <row r="57" spans="1:80">
      <c r="A57" s="7" t="s">
        <v>134</v>
      </c>
      <c r="B57" s="8">
        <v>0</v>
      </c>
      <c r="C57" s="8">
        <v>33146.25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1500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178.75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5194.8999999999996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12500</v>
      </c>
      <c r="BA57" s="8">
        <v>2645</v>
      </c>
      <c r="BB57" s="8">
        <v>2229.33</v>
      </c>
      <c r="BC57" s="8">
        <v>500</v>
      </c>
      <c r="BD57" s="8">
        <v>500</v>
      </c>
      <c r="BE57" s="8">
        <v>9485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0</v>
      </c>
      <c r="BU57" s="8">
        <v>0</v>
      </c>
      <c r="BV57" s="8">
        <v>0</v>
      </c>
      <c r="BW57" s="8">
        <v>0</v>
      </c>
      <c r="BX57" s="8">
        <v>0</v>
      </c>
      <c r="BY57" s="8">
        <v>0</v>
      </c>
      <c r="BZ57" s="8">
        <f>SUM(B57:BY57)</f>
        <v>67879.23000000001</v>
      </c>
    </row>
    <row r="58" spans="1:80">
      <c r="A58" s="9" t="s">
        <v>135</v>
      </c>
      <c r="B58" s="10">
        <f t="shared" ref="B58:BM58" si="20">SUM(B57)</f>
        <v>0</v>
      </c>
      <c r="C58" s="10">
        <f t="shared" si="20"/>
        <v>33146.25</v>
      </c>
      <c r="D58" s="10">
        <f t="shared" si="20"/>
        <v>0</v>
      </c>
      <c r="E58" s="10">
        <f t="shared" si="20"/>
        <v>0</v>
      </c>
      <c r="F58" s="10">
        <f t="shared" si="20"/>
        <v>0</v>
      </c>
      <c r="G58" s="10">
        <f t="shared" si="20"/>
        <v>0</v>
      </c>
      <c r="H58" s="10">
        <f t="shared" si="20"/>
        <v>0</v>
      </c>
      <c r="I58" s="10">
        <f t="shared" si="20"/>
        <v>0</v>
      </c>
      <c r="J58" s="10">
        <f t="shared" si="20"/>
        <v>0</v>
      </c>
      <c r="K58" s="10">
        <f t="shared" si="20"/>
        <v>0</v>
      </c>
      <c r="L58" s="10">
        <f t="shared" si="20"/>
        <v>0</v>
      </c>
      <c r="M58" s="10">
        <f t="shared" si="20"/>
        <v>0</v>
      </c>
      <c r="N58" s="10">
        <f t="shared" si="20"/>
        <v>1500</v>
      </c>
      <c r="O58" s="10">
        <f t="shared" si="20"/>
        <v>0</v>
      </c>
      <c r="P58" s="10">
        <f t="shared" si="20"/>
        <v>0</v>
      </c>
      <c r="Q58" s="10">
        <f t="shared" si="20"/>
        <v>0</v>
      </c>
      <c r="R58" s="10">
        <f t="shared" si="20"/>
        <v>0</v>
      </c>
      <c r="S58" s="10">
        <f t="shared" si="20"/>
        <v>0</v>
      </c>
      <c r="T58" s="10">
        <f t="shared" si="20"/>
        <v>0</v>
      </c>
      <c r="U58" s="10">
        <f t="shared" si="20"/>
        <v>178.75</v>
      </c>
      <c r="V58" s="10">
        <f t="shared" si="20"/>
        <v>0</v>
      </c>
      <c r="W58" s="10">
        <f t="shared" si="20"/>
        <v>0</v>
      </c>
      <c r="X58" s="10">
        <f t="shared" si="20"/>
        <v>0</v>
      </c>
      <c r="Y58" s="10">
        <f t="shared" si="20"/>
        <v>0</v>
      </c>
      <c r="Z58" s="10">
        <f t="shared" si="20"/>
        <v>0</v>
      </c>
      <c r="AA58" s="10">
        <f t="shared" si="20"/>
        <v>0</v>
      </c>
      <c r="AB58" s="10">
        <f t="shared" si="20"/>
        <v>0</v>
      </c>
      <c r="AC58" s="10">
        <f t="shared" si="20"/>
        <v>0</v>
      </c>
      <c r="AD58" s="10">
        <f t="shared" si="20"/>
        <v>0</v>
      </c>
      <c r="AE58" s="10">
        <f t="shared" si="20"/>
        <v>0</v>
      </c>
      <c r="AF58" s="10">
        <f t="shared" si="20"/>
        <v>0</v>
      </c>
      <c r="AG58" s="10">
        <f t="shared" si="20"/>
        <v>0</v>
      </c>
      <c r="AH58" s="10">
        <f t="shared" si="20"/>
        <v>0</v>
      </c>
      <c r="AI58" s="10">
        <f t="shared" si="20"/>
        <v>0</v>
      </c>
      <c r="AJ58" s="10">
        <f t="shared" si="20"/>
        <v>0</v>
      </c>
      <c r="AK58" s="10">
        <f t="shared" si="20"/>
        <v>5194.8999999999996</v>
      </c>
      <c r="AL58" s="10">
        <f t="shared" si="20"/>
        <v>0</v>
      </c>
      <c r="AM58" s="10">
        <f t="shared" si="20"/>
        <v>0</v>
      </c>
      <c r="AN58" s="10">
        <f t="shared" si="20"/>
        <v>0</v>
      </c>
      <c r="AO58" s="10">
        <f t="shared" si="20"/>
        <v>0</v>
      </c>
      <c r="AP58" s="10">
        <f t="shared" si="20"/>
        <v>0</v>
      </c>
      <c r="AQ58" s="10">
        <f t="shared" si="20"/>
        <v>0</v>
      </c>
      <c r="AR58" s="10">
        <f t="shared" si="20"/>
        <v>0</v>
      </c>
      <c r="AS58" s="10">
        <f t="shared" si="20"/>
        <v>0</v>
      </c>
      <c r="AT58" s="10">
        <f t="shared" si="20"/>
        <v>0</v>
      </c>
      <c r="AU58" s="10">
        <f t="shared" si="20"/>
        <v>0</v>
      </c>
      <c r="AV58" s="10">
        <f t="shared" si="20"/>
        <v>0</v>
      </c>
      <c r="AW58" s="10">
        <f t="shared" si="20"/>
        <v>0</v>
      </c>
      <c r="AX58" s="10">
        <f t="shared" si="20"/>
        <v>0</v>
      </c>
      <c r="AY58" s="10">
        <f t="shared" si="20"/>
        <v>0</v>
      </c>
      <c r="AZ58" s="10">
        <f t="shared" si="20"/>
        <v>12500</v>
      </c>
      <c r="BA58" s="10">
        <f t="shared" si="20"/>
        <v>2645</v>
      </c>
      <c r="BB58" s="10">
        <f t="shared" si="20"/>
        <v>2229.33</v>
      </c>
      <c r="BC58" s="10">
        <f t="shared" si="20"/>
        <v>500</v>
      </c>
      <c r="BD58" s="10">
        <f t="shared" si="20"/>
        <v>500</v>
      </c>
      <c r="BE58" s="10">
        <f t="shared" si="20"/>
        <v>9485</v>
      </c>
      <c r="BF58" s="10">
        <f t="shared" si="20"/>
        <v>0</v>
      </c>
      <c r="BG58" s="10">
        <f t="shared" si="20"/>
        <v>0</v>
      </c>
      <c r="BH58" s="10">
        <f t="shared" si="20"/>
        <v>0</v>
      </c>
      <c r="BI58" s="10">
        <f t="shared" si="20"/>
        <v>0</v>
      </c>
      <c r="BJ58" s="10">
        <f t="shared" si="20"/>
        <v>0</v>
      </c>
      <c r="BK58" s="10">
        <f t="shared" si="20"/>
        <v>0</v>
      </c>
      <c r="BL58" s="10">
        <f t="shared" si="20"/>
        <v>0</v>
      </c>
      <c r="BM58" s="10">
        <f t="shared" si="20"/>
        <v>0</v>
      </c>
      <c r="BN58" s="10">
        <f t="shared" ref="BN58:BZ58" si="21">SUM(BN57)</f>
        <v>0</v>
      </c>
      <c r="BO58" s="10">
        <f t="shared" si="21"/>
        <v>0</v>
      </c>
      <c r="BP58" s="10">
        <f t="shared" si="21"/>
        <v>0</v>
      </c>
      <c r="BQ58" s="10">
        <f t="shared" si="21"/>
        <v>0</v>
      </c>
      <c r="BR58" s="10">
        <f t="shared" si="21"/>
        <v>0</v>
      </c>
      <c r="BS58" s="10">
        <f t="shared" si="21"/>
        <v>0</v>
      </c>
      <c r="BT58" s="10">
        <f t="shared" si="21"/>
        <v>0</v>
      </c>
      <c r="BU58" s="10">
        <f t="shared" si="21"/>
        <v>0</v>
      </c>
      <c r="BV58" s="10">
        <f t="shared" si="21"/>
        <v>0</v>
      </c>
      <c r="BW58" s="10">
        <f t="shared" si="21"/>
        <v>0</v>
      </c>
      <c r="BX58" s="10">
        <f t="shared" si="21"/>
        <v>0</v>
      </c>
      <c r="BY58" s="10">
        <f t="shared" si="21"/>
        <v>0</v>
      </c>
      <c r="BZ58" s="10">
        <f t="shared" si="21"/>
        <v>67879.23000000001</v>
      </c>
    </row>
    <row r="59" spans="1:80">
      <c r="A59" s="6" t="s">
        <v>136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</row>
    <row r="60" spans="1:80">
      <c r="A60" s="7" t="s">
        <v>137</v>
      </c>
      <c r="B60" s="8">
        <v>0</v>
      </c>
      <c r="C60" s="8">
        <v>32239.54</v>
      </c>
      <c r="D60" s="8">
        <v>20971.36</v>
      </c>
      <c r="E60" s="8">
        <v>3219.53</v>
      </c>
      <c r="F60" s="8">
        <v>3773.19</v>
      </c>
      <c r="G60" s="8">
        <v>0</v>
      </c>
      <c r="H60" s="8">
        <v>4051.72</v>
      </c>
      <c r="I60" s="8">
        <v>8104.27</v>
      </c>
      <c r="J60" s="8">
        <v>22667.31</v>
      </c>
      <c r="K60" s="8">
        <v>4370.2299999999996</v>
      </c>
      <c r="L60" s="8">
        <v>1001.76</v>
      </c>
      <c r="M60" s="8">
        <v>3961.98</v>
      </c>
      <c r="N60" s="8">
        <v>10389.51</v>
      </c>
      <c r="O60" s="8">
        <v>1471.38</v>
      </c>
      <c r="P60" s="8">
        <v>91.63</v>
      </c>
      <c r="Q60" s="8">
        <v>135.04</v>
      </c>
      <c r="R60" s="8">
        <v>135.02000000000001</v>
      </c>
      <c r="S60" s="8">
        <v>89.82</v>
      </c>
      <c r="T60" s="8">
        <v>0</v>
      </c>
      <c r="U60" s="8">
        <v>4525.3999999999996</v>
      </c>
      <c r="V60" s="8">
        <v>0</v>
      </c>
      <c r="W60" s="8">
        <v>0</v>
      </c>
      <c r="X60" s="8">
        <v>7661</v>
      </c>
      <c r="Y60" s="8">
        <v>2426.83</v>
      </c>
      <c r="Z60" s="8">
        <v>1858.59</v>
      </c>
      <c r="AA60" s="8">
        <v>2894.73</v>
      </c>
      <c r="AB60" s="8">
        <v>16228.26</v>
      </c>
      <c r="AC60" s="8">
        <v>0</v>
      </c>
      <c r="AD60" s="8">
        <v>0</v>
      </c>
      <c r="AE60" s="8">
        <v>0</v>
      </c>
      <c r="AF60" s="8">
        <v>12297.98</v>
      </c>
      <c r="AG60" s="8">
        <v>5457.86</v>
      </c>
      <c r="AH60" s="8">
        <v>-26.54</v>
      </c>
      <c r="AI60" s="8">
        <v>100.62</v>
      </c>
      <c r="AJ60" s="8">
        <v>2538.9899999999998</v>
      </c>
      <c r="AK60" s="8">
        <v>980.06</v>
      </c>
      <c r="AL60" s="8">
        <v>9114.77</v>
      </c>
      <c r="AM60" s="8">
        <v>0</v>
      </c>
      <c r="AN60" s="8">
        <v>2341.21</v>
      </c>
      <c r="AO60" s="8">
        <v>0</v>
      </c>
      <c r="AP60" s="8">
        <v>413.1</v>
      </c>
      <c r="AQ60" s="8">
        <v>0</v>
      </c>
      <c r="AR60" s="8">
        <v>0</v>
      </c>
      <c r="AS60" s="8">
        <v>0</v>
      </c>
      <c r="AT60" s="8">
        <v>3234.46</v>
      </c>
      <c r="AU60" s="8">
        <v>0</v>
      </c>
      <c r="AV60" s="8">
        <v>787.36</v>
      </c>
      <c r="AW60" s="8">
        <v>1115.6600000000001</v>
      </c>
      <c r="AX60" s="8">
        <v>0</v>
      </c>
      <c r="AY60" s="8">
        <v>0</v>
      </c>
      <c r="AZ60" s="8">
        <v>0</v>
      </c>
      <c r="BA60" s="8">
        <v>0</v>
      </c>
      <c r="BB60" s="8">
        <v>626.82000000000005</v>
      </c>
      <c r="BC60" s="8">
        <v>591.51</v>
      </c>
      <c r="BD60" s="8">
        <v>460.4</v>
      </c>
      <c r="BE60" s="8">
        <v>1914.96</v>
      </c>
      <c r="BF60" s="8">
        <v>2053.5100000000002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0</v>
      </c>
      <c r="BY60" s="8">
        <v>0</v>
      </c>
      <c r="BZ60" s="8">
        <f>SUM(B60:BY60)</f>
        <v>196270.82999999996</v>
      </c>
    </row>
    <row r="61" spans="1:80">
      <c r="A61" s="9" t="s">
        <v>138</v>
      </c>
      <c r="B61" s="10">
        <f t="shared" ref="B61:BM61" si="22">SUM(B60)</f>
        <v>0</v>
      </c>
      <c r="C61" s="10">
        <f t="shared" si="22"/>
        <v>32239.54</v>
      </c>
      <c r="D61" s="10">
        <f t="shared" si="22"/>
        <v>20971.36</v>
      </c>
      <c r="E61" s="10">
        <f t="shared" si="22"/>
        <v>3219.53</v>
      </c>
      <c r="F61" s="10">
        <f t="shared" si="22"/>
        <v>3773.19</v>
      </c>
      <c r="G61" s="10">
        <f t="shared" si="22"/>
        <v>0</v>
      </c>
      <c r="H61" s="10">
        <f t="shared" si="22"/>
        <v>4051.72</v>
      </c>
      <c r="I61" s="10">
        <f t="shared" si="22"/>
        <v>8104.27</v>
      </c>
      <c r="J61" s="10">
        <f t="shared" si="22"/>
        <v>22667.31</v>
      </c>
      <c r="K61" s="10">
        <f t="shared" si="22"/>
        <v>4370.2299999999996</v>
      </c>
      <c r="L61" s="10">
        <f t="shared" si="22"/>
        <v>1001.76</v>
      </c>
      <c r="M61" s="10">
        <f t="shared" si="22"/>
        <v>3961.98</v>
      </c>
      <c r="N61" s="10">
        <f t="shared" si="22"/>
        <v>10389.51</v>
      </c>
      <c r="O61" s="10">
        <f t="shared" si="22"/>
        <v>1471.38</v>
      </c>
      <c r="P61" s="10">
        <f t="shared" si="22"/>
        <v>91.63</v>
      </c>
      <c r="Q61" s="10">
        <f t="shared" si="22"/>
        <v>135.04</v>
      </c>
      <c r="R61" s="10">
        <f t="shared" si="22"/>
        <v>135.02000000000001</v>
      </c>
      <c r="S61" s="10">
        <f t="shared" si="22"/>
        <v>89.82</v>
      </c>
      <c r="T61" s="10">
        <f t="shared" si="22"/>
        <v>0</v>
      </c>
      <c r="U61" s="10">
        <f t="shared" si="22"/>
        <v>4525.3999999999996</v>
      </c>
      <c r="V61" s="10">
        <f t="shared" si="22"/>
        <v>0</v>
      </c>
      <c r="W61" s="10">
        <f t="shared" si="22"/>
        <v>0</v>
      </c>
      <c r="X61" s="10">
        <f t="shared" si="22"/>
        <v>7661</v>
      </c>
      <c r="Y61" s="10">
        <f t="shared" si="22"/>
        <v>2426.83</v>
      </c>
      <c r="Z61" s="10">
        <f t="shared" si="22"/>
        <v>1858.59</v>
      </c>
      <c r="AA61" s="10">
        <f t="shared" si="22"/>
        <v>2894.73</v>
      </c>
      <c r="AB61" s="10">
        <f t="shared" si="22"/>
        <v>16228.26</v>
      </c>
      <c r="AC61" s="10">
        <f t="shared" si="22"/>
        <v>0</v>
      </c>
      <c r="AD61" s="10">
        <f t="shared" si="22"/>
        <v>0</v>
      </c>
      <c r="AE61" s="10">
        <f t="shared" si="22"/>
        <v>0</v>
      </c>
      <c r="AF61" s="10">
        <f t="shared" si="22"/>
        <v>12297.98</v>
      </c>
      <c r="AG61" s="10">
        <f t="shared" si="22"/>
        <v>5457.86</v>
      </c>
      <c r="AH61" s="10">
        <f t="shared" si="22"/>
        <v>-26.54</v>
      </c>
      <c r="AI61" s="10">
        <f t="shared" si="22"/>
        <v>100.62</v>
      </c>
      <c r="AJ61" s="10">
        <f t="shared" si="22"/>
        <v>2538.9899999999998</v>
      </c>
      <c r="AK61" s="10">
        <f t="shared" si="22"/>
        <v>980.06</v>
      </c>
      <c r="AL61" s="10">
        <f t="shared" si="22"/>
        <v>9114.77</v>
      </c>
      <c r="AM61" s="10">
        <f t="shared" si="22"/>
        <v>0</v>
      </c>
      <c r="AN61" s="10">
        <f t="shared" si="22"/>
        <v>2341.21</v>
      </c>
      <c r="AO61" s="10">
        <f t="shared" si="22"/>
        <v>0</v>
      </c>
      <c r="AP61" s="10">
        <f t="shared" si="22"/>
        <v>413.1</v>
      </c>
      <c r="AQ61" s="10">
        <f t="shared" si="22"/>
        <v>0</v>
      </c>
      <c r="AR61" s="10">
        <f t="shared" si="22"/>
        <v>0</v>
      </c>
      <c r="AS61" s="10">
        <f t="shared" si="22"/>
        <v>0</v>
      </c>
      <c r="AT61" s="10">
        <f t="shared" si="22"/>
        <v>3234.46</v>
      </c>
      <c r="AU61" s="10">
        <f t="shared" si="22"/>
        <v>0</v>
      </c>
      <c r="AV61" s="10">
        <f t="shared" si="22"/>
        <v>787.36</v>
      </c>
      <c r="AW61" s="10">
        <f t="shared" si="22"/>
        <v>1115.6600000000001</v>
      </c>
      <c r="AX61" s="10">
        <f t="shared" si="22"/>
        <v>0</v>
      </c>
      <c r="AY61" s="10">
        <f t="shared" si="22"/>
        <v>0</v>
      </c>
      <c r="AZ61" s="10">
        <f t="shared" si="22"/>
        <v>0</v>
      </c>
      <c r="BA61" s="10">
        <f t="shared" si="22"/>
        <v>0</v>
      </c>
      <c r="BB61" s="10">
        <f t="shared" si="22"/>
        <v>626.82000000000005</v>
      </c>
      <c r="BC61" s="10">
        <f t="shared" si="22"/>
        <v>591.51</v>
      </c>
      <c r="BD61" s="10">
        <f t="shared" si="22"/>
        <v>460.4</v>
      </c>
      <c r="BE61" s="10">
        <f t="shared" si="22"/>
        <v>1914.96</v>
      </c>
      <c r="BF61" s="10">
        <f t="shared" si="22"/>
        <v>2053.5100000000002</v>
      </c>
      <c r="BG61" s="10">
        <f t="shared" si="22"/>
        <v>0</v>
      </c>
      <c r="BH61" s="10">
        <f t="shared" si="22"/>
        <v>0</v>
      </c>
      <c r="BI61" s="10">
        <f t="shared" si="22"/>
        <v>0</v>
      </c>
      <c r="BJ61" s="10">
        <f t="shared" si="22"/>
        <v>0</v>
      </c>
      <c r="BK61" s="10">
        <f t="shared" si="22"/>
        <v>0</v>
      </c>
      <c r="BL61" s="10">
        <f t="shared" si="22"/>
        <v>0</v>
      </c>
      <c r="BM61" s="10">
        <f t="shared" si="22"/>
        <v>0</v>
      </c>
      <c r="BN61" s="10">
        <f t="shared" ref="BN61:BZ61" si="23">SUM(BN60)</f>
        <v>0</v>
      </c>
      <c r="BO61" s="10">
        <f t="shared" si="23"/>
        <v>0</v>
      </c>
      <c r="BP61" s="10">
        <f t="shared" si="23"/>
        <v>0</v>
      </c>
      <c r="BQ61" s="10">
        <f t="shared" si="23"/>
        <v>0</v>
      </c>
      <c r="BR61" s="10">
        <f t="shared" si="23"/>
        <v>0</v>
      </c>
      <c r="BS61" s="10">
        <f t="shared" si="23"/>
        <v>0</v>
      </c>
      <c r="BT61" s="10">
        <f t="shared" si="23"/>
        <v>0</v>
      </c>
      <c r="BU61" s="10">
        <f t="shared" si="23"/>
        <v>0</v>
      </c>
      <c r="BV61" s="10">
        <f t="shared" si="23"/>
        <v>0</v>
      </c>
      <c r="BW61" s="10">
        <f t="shared" si="23"/>
        <v>0</v>
      </c>
      <c r="BX61" s="10">
        <f t="shared" si="23"/>
        <v>0</v>
      </c>
      <c r="BY61" s="10">
        <f t="shared" si="23"/>
        <v>0</v>
      </c>
      <c r="BZ61" s="10">
        <f t="shared" si="23"/>
        <v>196270.82999999996</v>
      </c>
    </row>
    <row r="62" spans="1:80">
      <c r="A62" s="6" t="s">
        <v>139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</row>
    <row r="63" spans="1:80">
      <c r="A63" s="7" t="s">
        <v>140</v>
      </c>
      <c r="B63" s="8">
        <v>0</v>
      </c>
      <c r="C63" s="8">
        <v>1391.84</v>
      </c>
      <c r="D63" s="8">
        <v>588.91</v>
      </c>
      <c r="E63" s="8">
        <v>208.7</v>
      </c>
      <c r="F63" s="8">
        <v>0</v>
      </c>
      <c r="G63" s="8">
        <v>87.64</v>
      </c>
      <c r="H63" s="8">
        <v>125.27</v>
      </c>
      <c r="I63" s="8">
        <v>710.61</v>
      </c>
      <c r="J63" s="8">
        <v>247.08</v>
      </c>
      <c r="K63" s="8">
        <v>338.25</v>
      </c>
      <c r="L63" s="8">
        <v>0</v>
      </c>
      <c r="M63" s="8">
        <v>0</v>
      </c>
      <c r="N63" s="8">
        <v>37.630000000000003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33.94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41.84</v>
      </c>
      <c r="AB63" s="8">
        <v>247.08</v>
      </c>
      <c r="AC63" s="8">
        <v>0</v>
      </c>
      <c r="AD63" s="8">
        <v>0</v>
      </c>
      <c r="AE63" s="8">
        <v>0</v>
      </c>
      <c r="AF63" s="8">
        <v>450.67</v>
      </c>
      <c r="AG63" s="8">
        <v>0</v>
      </c>
      <c r="AH63" s="8">
        <v>0</v>
      </c>
      <c r="AI63" s="8">
        <v>0</v>
      </c>
      <c r="AJ63" s="8">
        <v>235.49</v>
      </c>
      <c r="AK63" s="8">
        <v>250.52</v>
      </c>
      <c r="AL63" s="8">
        <v>0</v>
      </c>
      <c r="AM63" s="8">
        <v>0</v>
      </c>
      <c r="AN63" s="8">
        <v>0</v>
      </c>
      <c r="AO63" s="8">
        <v>0</v>
      </c>
      <c r="AP63" s="8">
        <v>0</v>
      </c>
      <c r="AQ63" s="8">
        <v>0</v>
      </c>
      <c r="AR63" s="8">
        <v>0</v>
      </c>
      <c r="AS63" s="8">
        <v>0</v>
      </c>
      <c r="AT63" s="8">
        <v>0</v>
      </c>
      <c r="AU63" s="8">
        <v>0</v>
      </c>
      <c r="AV63" s="8">
        <v>0</v>
      </c>
      <c r="AW63" s="8">
        <v>0</v>
      </c>
      <c r="AX63" s="8">
        <v>0</v>
      </c>
      <c r="AY63" s="8">
        <v>0</v>
      </c>
      <c r="AZ63" s="8">
        <v>0</v>
      </c>
      <c r="BA63" s="8">
        <v>0</v>
      </c>
      <c r="BB63" s="8">
        <v>0</v>
      </c>
      <c r="BC63" s="8">
        <v>0</v>
      </c>
      <c r="BD63" s="8">
        <v>0</v>
      </c>
      <c r="BE63" s="8">
        <v>0</v>
      </c>
      <c r="BF63" s="8">
        <v>125.28</v>
      </c>
      <c r="BG63" s="8">
        <v>0</v>
      </c>
      <c r="BH63" s="8">
        <v>0</v>
      </c>
      <c r="BI63" s="8">
        <v>0</v>
      </c>
      <c r="BJ63" s="8">
        <v>0</v>
      </c>
      <c r="BK63" s="8">
        <v>0</v>
      </c>
      <c r="BL63" s="8">
        <v>0</v>
      </c>
      <c r="BM63" s="8">
        <v>0</v>
      </c>
      <c r="BN63" s="8">
        <v>0</v>
      </c>
      <c r="BO63" s="8">
        <v>0</v>
      </c>
      <c r="BP63" s="8">
        <v>0</v>
      </c>
      <c r="BQ63" s="8">
        <v>0</v>
      </c>
      <c r="BR63" s="8">
        <v>0</v>
      </c>
      <c r="BS63" s="8">
        <v>0</v>
      </c>
      <c r="BT63" s="8">
        <v>0</v>
      </c>
      <c r="BU63" s="8">
        <v>0</v>
      </c>
      <c r="BV63" s="8">
        <v>0</v>
      </c>
      <c r="BW63" s="8">
        <v>0</v>
      </c>
      <c r="BX63" s="8">
        <v>0</v>
      </c>
      <c r="BY63" s="8">
        <v>0</v>
      </c>
      <c r="BZ63" s="8">
        <f>SUM(B63:BY63)</f>
        <v>5120.75</v>
      </c>
    </row>
    <row r="64" spans="1:80">
      <c r="A64" s="7" t="s">
        <v>141</v>
      </c>
      <c r="B64" s="8">
        <v>0</v>
      </c>
      <c r="C64" s="8">
        <v>132.16999999999999</v>
      </c>
      <c r="D64" s="8">
        <v>79.14</v>
      </c>
      <c r="E64" s="8">
        <v>10.84</v>
      </c>
      <c r="F64" s="8">
        <v>14.37</v>
      </c>
      <c r="G64" s="8">
        <v>0</v>
      </c>
      <c r="H64" s="8">
        <v>15.45</v>
      </c>
      <c r="I64" s="8">
        <v>30.85</v>
      </c>
      <c r="J64" s="8">
        <v>74.83</v>
      </c>
      <c r="K64" s="8">
        <v>15.6</v>
      </c>
      <c r="L64" s="8">
        <v>3.8</v>
      </c>
      <c r="M64" s="8">
        <v>15.09</v>
      </c>
      <c r="N64" s="8">
        <v>39.53</v>
      </c>
      <c r="O64" s="8">
        <v>5.61</v>
      </c>
      <c r="P64" s="8">
        <v>0.33</v>
      </c>
      <c r="Q64" s="8">
        <v>0.48</v>
      </c>
      <c r="R64" s="8">
        <v>0.48</v>
      </c>
      <c r="S64" s="8">
        <v>0.35</v>
      </c>
      <c r="T64" s="8">
        <v>0</v>
      </c>
      <c r="U64" s="8">
        <v>13.83</v>
      </c>
      <c r="V64" s="8">
        <v>0</v>
      </c>
      <c r="W64" s="8">
        <v>0</v>
      </c>
      <c r="X64" s="8">
        <v>28.96</v>
      </c>
      <c r="Y64" s="8">
        <v>0</v>
      </c>
      <c r="Z64" s="8">
        <v>7.97</v>
      </c>
      <c r="AA64" s="8">
        <v>5.92</v>
      </c>
      <c r="AB64" s="8">
        <v>48.47</v>
      </c>
      <c r="AC64" s="8">
        <v>0</v>
      </c>
      <c r="AD64" s="8">
        <v>0</v>
      </c>
      <c r="AE64" s="8">
        <v>0</v>
      </c>
      <c r="AF64" s="8">
        <v>46.79</v>
      </c>
      <c r="AG64" s="8">
        <v>20.78</v>
      </c>
      <c r="AH64" s="8">
        <v>0</v>
      </c>
      <c r="AI64" s="8">
        <v>0.36</v>
      </c>
      <c r="AJ64" s="8">
        <v>6.69</v>
      </c>
      <c r="AK64" s="8">
        <v>3.73</v>
      </c>
      <c r="AL64" s="8">
        <v>34.68</v>
      </c>
      <c r="AM64" s="8">
        <v>0</v>
      </c>
      <c r="AN64" s="8">
        <v>8.83</v>
      </c>
      <c r="AO64" s="8">
        <v>0</v>
      </c>
      <c r="AP64" s="8">
        <v>1.48</v>
      </c>
      <c r="AQ64" s="8">
        <v>0</v>
      </c>
      <c r="AR64" s="8">
        <v>0</v>
      </c>
      <c r="AS64" s="8">
        <v>0</v>
      </c>
      <c r="AT64" s="8">
        <v>9.34</v>
      </c>
      <c r="AU64" s="8">
        <v>0</v>
      </c>
      <c r="AV64" s="8">
        <v>2.82</v>
      </c>
      <c r="AW64" s="8">
        <v>4.2300000000000004</v>
      </c>
      <c r="AX64" s="8">
        <v>0</v>
      </c>
      <c r="AY64" s="8">
        <v>0</v>
      </c>
      <c r="AZ64" s="8">
        <v>0</v>
      </c>
      <c r="BA64" s="8">
        <v>0</v>
      </c>
      <c r="BB64" s="8">
        <v>2.41</v>
      </c>
      <c r="BC64" s="8">
        <v>2.25</v>
      </c>
      <c r="BD64" s="8">
        <v>1.81</v>
      </c>
      <c r="BE64" s="8">
        <v>7.4</v>
      </c>
      <c r="BF64" s="8">
        <v>7.83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8"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f>SUM(B64:BY64)</f>
        <v>705.50000000000011</v>
      </c>
    </row>
    <row r="65" spans="1:78">
      <c r="A65" s="7" t="s">
        <v>142</v>
      </c>
      <c r="B65" s="8">
        <v>0</v>
      </c>
      <c r="C65" s="8">
        <v>3646.39</v>
      </c>
      <c r="D65" s="8">
        <v>1972.01</v>
      </c>
      <c r="E65" s="8">
        <v>119.59</v>
      </c>
      <c r="F65" s="8">
        <v>220.9</v>
      </c>
      <c r="G65" s="8">
        <v>0</v>
      </c>
      <c r="H65" s="8">
        <v>6259.62</v>
      </c>
      <c r="I65" s="8">
        <v>843.37</v>
      </c>
      <c r="J65" s="8">
        <v>1581.9</v>
      </c>
      <c r="K65" s="8">
        <v>408.12</v>
      </c>
      <c r="L65" s="8">
        <v>5.94</v>
      </c>
      <c r="M65" s="8">
        <v>207.02</v>
      </c>
      <c r="N65" s="8">
        <v>427.72</v>
      </c>
      <c r="O65" s="8">
        <v>8.51</v>
      </c>
      <c r="P65" s="8">
        <v>0.61</v>
      </c>
      <c r="Q65" s="8">
        <v>0.84</v>
      </c>
      <c r="R65" s="8">
        <v>0.84</v>
      </c>
      <c r="S65" s="8">
        <v>0.76</v>
      </c>
      <c r="T65" s="8">
        <v>0</v>
      </c>
      <c r="U65" s="8">
        <v>171.64</v>
      </c>
      <c r="V65" s="8">
        <v>0</v>
      </c>
      <c r="W65" s="8">
        <v>0</v>
      </c>
      <c r="X65" s="8">
        <v>411.29</v>
      </c>
      <c r="Y65" s="8">
        <v>0</v>
      </c>
      <c r="Z65" s="8">
        <v>12.88</v>
      </c>
      <c r="AA65" s="8">
        <v>59.54</v>
      </c>
      <c r="AB65" s="8">
        <v>748.73</v>
      </c>
      <c r="AC65" s="8">
        <v>0</v>
      </c>
      <c r="AD65" s="8">
        <v>0</v>
      </c>
      <c r="AE65" s="8">
        <v>0</v>
      </c>
      <c r="AF65" s="8">
        <v>822.16</v>
      </c>
      <c r="AG65" s="8">
        <v>691.42</v>
      </c>
      <c r="AH65" s="8">
        <v>0</v>
      </c>
      <c r="AI65" s="8">
        <v>0</v>
      </c>
      <c r="AJ65" s="8">
        <v>64.86</v>
      </c>
      <c r="AK65" s="8">
        <v>651.46</v>
      </c>
      <c r="AL65" s="8">
        <v>904.1</v>
      </c>
      <c r="AM65" s="8">
        <v>0</v>
      </c>
      <c r="AN65" s="8">
        <v>13.26</v>
      </c>
      <c r="AO65" s="8">
        <v>0</v>
      </c>
      <c r="AP65" s="8">
        <v>2.3199999999999998</v>
      </c>
      <c r="AQ65" s="8">
        <v>0</v>
      </c>
      <c r="AR65" s="8">
        <v>0</v>
      </c>
      <c r="AS65" s="8">
        <v>0</v>
      </c>
      <c r="AT65" s="8">
        <v>51.39</v>
      </c>
      <c r="AU65" s="8">
        <v>0</v>
      </c>
      <c r="AV65" s="8">
        <v>4.42</v>
      </c>
      <c r="AW65" s="8">
        <v>16.68</v>
      </c>
      <c r="AX65" s="8">
        <v>0</v>
      </c>
      <c r="AY65" s="8">
        <v>0</v>
      </c>
      <c r="AZ65" s="8">
        <v>0</v>
      </c>
      <c r="BA65" s="8">
        <v>0</v>
      </c>
      <c r="BB65" s="8">
        <v>3.74</v>
      </c>
      <c r="BC65" s="8">
        <v>3.26</v>
      </c>
      <c r="BD65" s="8">
        <v>3.05</v>
      </c>
      <c r="BE65" s="8">
        <v>11.12</v>
      </c>
      <c r="BF65" s="8">
        <v>11.8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0</v>
      </c>
      <c r="BZ65" s="8">
        <f>SUM(B65:BY65)</f>
        <v>20363.259999999991</v>
      </c>
    </row>
    <row r="66" spans="1:78">
      <c r="A66" s="9" t="s">
        <v>143</v>
      </c>
      <c r="B66" s="10">
        <f t="shared" ref="B66:BM66" si="24">SUM(B63:B65)</f>
        <v>0</v>
      </c>
      <c r="C66" s="10">
        <f t="shared" si="24"/>
        <v>5170.3999999999996</v>
      </c>
      <c r="D66" s="10">
        <f t="shared" si="24"/>
        <v>2640.06</v>
      </c>
      <c r="E66" s="10">
        <f t="shared" si="24"/>
        <v>339.13</v>
      </c>
      <c r="F66" s="10">
        <f t="shared" si="24"/>
        <v>235.27</v>
      </c>
      <c r="G66" s="10">
        <f t="shared" si="24"/>
        <v>87.64</v>
      </c>
      <c r="H66" s="10">
        <f t="shared" si="24"/>
        <v>6400.34</v>
      </c>
      <c r="I66" s="10">
        <f t="shared" si="24"/>
        <v>1584.83</v>
      </c>
      <c r="J66" s="10">
        <f t="shared" si="24"/>
        <v>1903.8100000000002</v>
      </c>
      <c r="K66" s="10">
        <f t="shared" si="24"/>
        <v>761.97</v>
      </c>
      <c r="L66" s="10">
        <f t="shared" si="24"/>
        <v>9.74</v>
      </c>
      <c r="M66" s="10">
        <f t="shared" si="24"/>
        <v>222.11</v>
      </c>
      <c r="N66" s="10">
        <f t="shared" si="24"/>
        <v>504.88</v>
      </c>
      <c r="O66" s="10">
        <f t="shared" si="24"/>
        <v>14.120000000000001</v>
      </c>
      <c r="P66" s="10">
        <f t="shared" si="24"/>
        <v>0.94</v>
      </c>
      <c r="Q66" s="10">
        <f t="shared" si="24"/>
        <v>1.3199999999999998</v>
      </c>
      <c r="R66" s="10">
        <f t="shared" si="24"/>
        <v>1.3199999999999998</v>
      </c>
      <c r="S66" s="10">
        <f t="shared" si="24"/>
        <v>1.1099999999999999</v>
      </c>
      <c r="T66" s="10">
        <f t="shared" si="24"/>
        <v>0</v>
      </c>
      <c r="U66" s="10">
        <f t="shared" si="24"/>
        <v>219.40999999999997</v>
      </c>
      <c r="V66" s="10">
        <f t="shared" si="24"/>
        <v>0</v>
      </c>
      <c r="W66" s="10">
        <f t="shared" si="24"/>
        <v>0</v>
      </c>
      <c r="X66" s="10">
        <f t="shared" si="24"/>
        <v>440.25</v>
      </c>
      <c r="Y66" s="10">
        <f t="shared" si="24"/>
        <v>0</v>
      </c>
      <c r="Z66" s="10">
        <f t="shared" si="24"/>
        <v>20.85</v>
      </c>
      <c r="AA66" s="10">
        <f t="shared" si="24"/>
        <v>107.30000000000001</v>
      </c>
      <c r="AB66" s="10">
        <f t="shared" si="24"/>
        <v>1044.28</v>
      </c>
      <c r="AC66" s="10">
        <f t="shared" si="24"/>
        <v>0</v>
      </c>
      <c r="AD66" s="10">
        <f t="shared" si="24"/>
        <v>0</v>
      </c>
      <c r="AE66" s="10">
        <f t="shared" si="24"/>
        <v>0</v>
      </c>
      <c r="AF66" s="10">
        <f t="shared" si="24"/>
        <v>1319.62</v>
      </c>
      <c r="AG66" s="10">
        <f t="shared" si="24"/>
        <v>712.19999999999993</v>
      </c>
      <c r="AH66" s="10">
        <f t="shared" si="24"/>
        <v>0</v>
      </c>
      <c r="AI66" s="10">
        <f t="shared" si="24"/>
        <v>0.36</v>
      </c>
      <c r="AJ66" s="10">
        <f t="shared" si="24"/>
        <v>307.04000000000002</v>
      </c>
      <c r="AK66" s="10">
        <f t="shared" si="24"/>
        <v>905.71</v>
      </c>
      <c r="AL66" s="10">
        <f t="shared" si="24"/>
        <v>938.78</v>
      </c>
      <c r="AM66" s="10">
        <f t="shared" si="24"/>
        <v>0</v>
      </c>
      <c r="AN66" s="10">
        <f t="shared" si="24"/>
        <v>22.09</v>
      </c>
      <c r="AO66" s="10">
        <f t="shared" si="24"/>
        <v>0</v>
      </c>
      <c r="AP66" s="10">
        <f t="shared" si="24"/>
        <v>3.8</v>
      </c>
      <c r="AQ66" s="10">
        <f t="shared" si="24"/>
        <v>0</v>
      </c>
      <c r="AR66" s="10">
        <f t="shared" si="24"/>
        <v>0</v>
      </c>
      <c r="AS66" s="10">
        <f t="shared" si="24"/>
        <v>0</v>
      </c>
      <c r="AT66" s="10">
        <f t="shared" si="24"/>
        <v>60.730000000000004</v>
      </c>
      <c r="AU66" s="10">
        <f t="shared" si="24"/>
        <v>0</v>
      </c>
      <c r="AV66" s="10">
        <f t="shared" si="24"/>
        <v>7.24</v>
      </c>
      <c r="AW66" s="10">
        <f t="shared" si="24"/>
        <v>20.91</v>
      </c>
      <c r="AX66" s="10">
        <f t="shared" si="24"/>
        <v>0</v>
      </c>
      <c r="AY66" s="10">
        <f t="shared" si="24"/>
        <v>0</v>
      </c>
      <c r="AZ66" s="10">
        <f t="shared" si="24"/>
        <v>0</v>
      </c>
      <c r="BA66" s="10">
        <f t="shared" si="24"/>
        <v>0</v>
      </c>
      <c r="BB66" s="10">
        <f t="shared" si="24"/>
        <v>6.15</v>
      </c>
      <c r="BC66" s="10">
        <f t="shared" si="24"/>
        <v>5.51</v>
      </c>
      <c r="BD66" s="10">
        <f t="shared" si="24"/>
        <v>4.8599999999999994</v>
      </c>
      <c r="BE66" s="10">
        <f t="shared" si="24"/>
        <v>18.52</v>
      </c>
      <c r="BF66" s="10">
        <f t="shared" si="24"/>
        <v>144.91000000000003</v>
      </c>
      <c r="BG66" s="10">
        <f t="shared" si="24"/>
        <v>0</v>
      </c>
      <c r="BH66" s="10">
        <f t="shared" si="24"/>
        <v>0</v>
      </c>
      <c r="BI66" s="10">
        <f t="shared" si="24"/>
        <v>0</v>
      </c>
      <c r="BJ66" s="10">
        <f t="shared" si="24"/>
        <v>0</v>
      </c>
      <c r="BK66" s="10">
        <f t="shared" si="24"/>
        <v>0</v>
      </c>
      <c r="BL66" s="10">
        <f t="shared" si="24"/>
        <v>0</v>
      </c>
      <c r="BM66" s="10">
        <f t="shared" si="24"/>
        <v>0</v>
      </c>
      <c r="BN66" s="10">
        <f t="shared" ref="BN66:BZ66" si="25">SUM(BN63:BN65)</f>
        <v>0</v>
      </c>
      <c r="BO66" s="10">
        <f t="shared" si="25"/>
        <v>0</v>
      </c>
      <c r="BP66" s="10">
        <f t="shared" si="25"/>
        <v>0</v>
      </c>
      <c r="BQ66" s="10">
        <f t="shared" si="25"/>
        <v>0</v>
      </c>
      <c r="BR66" s="10">
        <f t="shared" si="25"/>
        <v>0</v>
      </c>
      <c r="BS66" s="10">
        <f t="shared" si="25"/>
        <v>0</v>
      </c>
      <c r="BT66" s="10">
        <f t="shared" si="25"/>
        <v>0</v>
      </c>
      <c r="BU66" s="10">
        <f t="shared" si="25"/>
        <v>0</v>
      </c>
      <c r="BV66" s="10">
        <f t="shared" si="25"/>
        <v>0</v>
      </c>
      <c r="BW66" s="10">
        <f t="shared" si="25"/>
        <v>0</v>
      </c>
      <c r="BX66" s="10">
        <f t="shared" si="25"/>
        <v>0</v>
      </c>
      <c r="BY66" s="10">
        <f t="shared" si="25"/>
        <v>0</v>
      </c>
      <c r="BZ66" s="10">
        <f t="shared" si="25"/>
        <v>26189.509999999991</v>
      </c>
    </row>
    <row r="67" spans="1:78">
      <c r="A67" s="6" t="s">
        <v>144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</row>
    <row r="68" spans="1:78">
      <c r="A68" s="7" t="s">
        <v>145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180.84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8">
        <v>0</v>
      </c>
      <c r="AO68" s="8">
        <v>0</v>
      </c>
      <c r="AP68" s="8">
        <v>0</v>
      </c>
      <c r="AQ68" s="8">
        <v>0</v>
      </c>
      <c r="AR68" s="8">
        <v>0</v>
      </c>
      <c r="AS68" s="8">
        <v>0</v>
      </c>
      <c r="AT68" s="8">
        <v>0</v>
      </c>
      <c r="AU68" s="8">
        <v>0</v>
      </c>
      <c r="AV68" s="8">
        <v>0</v>
      </c>
      <c r="AW68" s="8">
        <v>0</v>
      </c>
      <c r="AX68" s="8">
        <v>0</v>
      </c>
      <c r="AY68" s="8">
        <v>0</v>
      </c>
      <c r="AZ68" s="8">
        <v>0</v>
      </c>
      <c r="BA68" s="8">
        <v>0</v>
      </c>
      <c r="BB68" s="8">
        <v>0</v>
      </c>
      <c r="BC68" s="8">
        <v>0</v>
      </c>
      <c r="BD68" s="8">
        <v>0</v>
      </c>
      <c r="BE68" s="8">
        <v>0</v>
      </c>
      <c r="BF68" s="8">
        <v>0</v>
      </c>
      <c r="BG68" s="8">
        <v>0</v>
      </c>
      <c r="BH68" s="8">
        <v>0</v>
      </c>
      <c r="BI68" s="8">
        <v>0</v>
      </c>
      <c r="BJ68" s="8">
        <v>0</v>
      </c>
      <c r="BK68" s="8">
        <v>0</v>
      </c>
      <c r="BL68" s="8">
        <v>0</v>
      </c>
      <c r="BM68" s="8">
        <v>0</v>
      </c>
      <c r="BN68" s="8">
        <v>0</v>
      </c>
      <c r="BO68" s="8">
        <v>0</v>
      </c>
      <c r="BP68" s="8">
        <v>0</v>
      </c>
      <c r="BQ68" s="8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0</v>
      </c>
      <c r="BX68" s="8">
        <v>0</v>
      </c>
      <c r="BY68" s="8">
        <v>0</v>
      </c>
      <c r="BZ68" s="8">
        <f>SUM(B68:BY68)</f>
        <v>180.84</v>
      </c>
    </row>
    <row r="69" spans="1:78">
      <c r="A69" s="7" t="s">
        <v>146</v>
      </c>
      <c r="B69" s="8">
        <v>0</v>
      </c>
      <c r="C69" s="8">
        <v>1.08</v>
      </c>
      <c r="D69" s="8">
        <v>0</v>
      </c>
      <c r="E69" s="8">
        <v>0</v>
      </c>
      <c r="F69" s="8">
        <v>0</v>
      </c>
      <c r="G69" s="8">
        <v>0</v>
      </c>
      <c r="H69" s="8">
        <v>162.84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0</v>
      </c>
      <c r="AT69" s="8">
        <v>0</v>
      </c>
      <c r="AU69" s="8">
        <v>0</v>
      </c>
      <c r="AV69" s="8">
        <v>0</v>
      </c>
      <c r="AW69" s="8">
        <v>0</v>
      </c>
      <c r="AX69" s="8">
        <v>0</v>
      </c>
      <c r="AY69" s="8">
        <v>0</v>
      </c>
      <c r="AZ69" s="8">
        <v>0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8">
        <v>0</v>
      </c>
      <c r="BL69" s="8">
        <v>0</v>
      </c>
      <c r="BM69" s="8">
        <v>0</v>
      </c>
      <c r="BN69" s="8">
        <v>0</v>
      </c>
      <c r="BO69" s="8">
        <v>0</v>
      </c>
      <c r="BP69" s="8">
        <v>0</v>
      </c>
      <c r="BQ69" s="8">
        <v>0</v>
      </c>
      <c r="BR69" s="8">
        <v>0</v>
      </c>
      <c r="BS69" s="8">
        <v>0</v>
      </c>
      <c r="BT69" s="8">
        <v>0</v>
      </c>
      <c r="BU69" s="8">
        <v>0</v>
      </c>
      <c r="BV69" s="8">
        <v>0</v>
      </c>
      <c r="BW69" s="8">
        <v>0</v>
      </c>
      <c r="BX69" s="8">
        <v>0</v>
      </c>
      <c r="BY69" s="8">
        <v>0</v>
      </c>
      <c r="BZ69" s="8">
        <f>SUM(B69:BY69)</f>
        <v>163.92000000000002</v>
      </c>
    </row>
    <row r="70" spans="1:78">
      <c r="A70" s="9" t="s">
        <v>147</v>
      </c>
      <c r="B70" s="10">
        <f t="shared" ref="B70:BM70" si="26">SUM(B68:B69)</f>
        <v>0</v>
      </c>
      <c r="C70" s="10">
        <f t="shared" si="26"/>
        <v>1.08</v>
      </c>
      <c r="D70" s="10">
        <f t="shared" si="26"/>
        <v>0</v>
      </c>
      <c r="E70" s="10">
        <f t="shared" si="26"/>
        <v>0</v>
      </c>
      <c r="F70" s="10">
        <f t="shared" si="26"/>
        <v>0</v>
      </c>
      <c r="G70" s="10">
        <f t="shared" si="26"/>
        <v>0</v>
      </c>
      <c r="H70" s="10">
        <f t="shared" si="26"/>
        <v>162.84</v>
      </c>
      <c r="I70" s="10">
        <f t="shared" si="26"/>
        <v>0</v>
      </c>
      <c r="J70" s="10">
        <f t="shared" si="26"/>
        <v>0</v>
      </c>
      <c r="K70" s="10">
        <f t="shared" si="26"/>
        <v>0</v>
      </c>
      <c r="L70" s="10">
        <f t="shared" si="26"/>
        <v>0</v>
      </c>
      <c r="M70" s="10">
        <f t="shared" si="26"/>
        <v>0</v>
      </c>
      <c r="N70" s="10">
        <f t="shared" si="26"/>
        <v>180.84</v>
      </c>
      <c r="O70" s="10">
        <f t="shared" si="26"/>
        <v>0</v>
      </c>
      <c r="P70" s="10">
        <f t="shared" si="26"/>
        <v>0</v>
      </c>
      <c r="Q70" s="10">
        <f t="shared" si="26"/>
        <v>0</v>
      </c>
      <c r="R70" s="10">
        <f t="shared" si="26"/>
        <v>0</v>
      </c>
      <c r="S70" s="10">
        <f t="shared" si="26"/>
        <v>0</v>
      </c>
      <c r="T70" s="10">
        <f t="shared" si="26"/>
        <v>0</v>
      </c>
      <c r="U70" s="10">
        <f t="shared" si="26"/>
        <v>0</v>
      </c>
      <c r="V70" s="10">
        <f t="shared" si="26"/>
        <v>0</v>
      </c>
      <c r="W70" s="10">
        <f t="shared" si="26"/>
        <v>0</v>
      </c>
      <c r="X70" s="10">
        <f t="shared" si="26"/>
        <v>0</v>
      </c>
      <c r="Y70" s="10">
        <f t="shared" si="26"/>
        <v>0</v>
      </c>
      <c r="Z70" s="10">
        <f t="shared" si="26"/>
        <v>0</v>
      </c>
      <c r="AA70" s="10">
        <f t="shared" si="26"/>
        <v>0</v>
      </c>
      <c r="AB70" s="10">
        <f t="shared" si="26"/>
        <v>0</v>
      </c>
      <c r="AC70" s="10">
        <f t="shared" si="26"/>
        <v>0</v>
      </c>
      <c r="AD70" s="10">
        <f t="shared" si="26"/>
        <v>0</v>
      </c>
      <c r="AE70" s="10">
        <f t="shared" si="26"/>
        <v>0</v>
      </c>
      <c r="AF70" s="10">
        <f t="shared" si="26"/>
        <v>0</v>
      </c>
      <c r="AG70" s="10">
        <f t="shared" si="26"/>
        <v>0</v>
      </c>
      <c r="AH70" s="10">
        <f t="shared" si="26"/>
        <v>0</v>
      </c>
      <c r="AI70" s="10">
        <f t="shared" si="26"/>
        <v>0</v>
      </c>
      <c r="AJ70" s="10">
        <f t="shared" si="26"/>
        <v>0</v>
      </c>
      <c r="AK70" s="10">
        <f t="shared" si="26"/>
        <v>0</v>
      </c>
      <c r="AL70" s="10">
        <f t="shared" si="26"/>
        <v>0</v>
      </c>
      <c r="AM70" s="10">
        <f t="shared" si="26"/>
        <v>0</v>
      </c>
      <c r="AN70" s="10">
        <f t="shared" si="26"/>
        <v>0</v>
      </c>
      <c r="AO70" s="10">
        <f t="shared" si="26"/>
        <v>0</v>
      </c>
      <c r="AP70" s="10">
        <f t="shared" si="26"/>
        <v>0</v>
      </c>
      <c r="AQ70" s="10">
        <f t="shared" si="26"/>
        <v>0</v>
      </c>
      <c r="AR70" s="10">
        <f t="shared" si="26"/>
        <v>0</v>
      </c>
      <c r="AS70" s="10">
        <f t="shared" si="26"/>
        <v>0</v>
      </c>
      <c r="AT70" s="10">
        <f t="shared" si="26"/>
        <v>0</v>
      </c>
      <c r="AU70" s="10">
        <f t="shared" si="26"/>
        <v>0</v>
      </c>
      <c r="AV70" s="10">
        <f t="shared" si="26"/>
        <v>0</v>
      </c>
      <c r="AW70" s="10">
        <f t="shared" si="26"/>
        <v>0</v>
      </c>
      <c r="AX70" s="10">
        <f t="shared" si="26"/>
        <v>0</v>
      </c>
      <c r="AY70" s="10">
        <f t="shared" si="26"/>
        <v>0</v>
      </c>
      <c r="AZ70" s="10">
        <f t="shared" si="26"/>
        <v>0</v>
      </c>
      <c r="BA70" s="10">
        <f t="shared" si="26"/>
        <v>0</v>
      </c>
      <c r="BB70" s="10">
        <f t="shared" si="26"/>
        <v>0</v>
      </c>
      <c r="BC70" s="10">
        <f t="shared" si="26"/>
        <v>0</v>
      </c>
      <c r="BD70" s="10">
        <f t="shared" si="26"/>
        <v>0</v>
      </c>
      <c r="BE70" s="10">
        <f t="shared" si="26"/>
        <v>0</v>
      </c>
      <c r="BF70" s="10">
        <f t="shared" si="26"/>
        <v>0</v>
      </c>
      <c r="BG70" s="10">
        <f t="shared" si="26"/>
        <v>0</v>
      </c>
      <c r="BH70" s="10">
        <f t="shared" si="26"/>
        <v>0</v>
      </c>
      <c r="BI70" s="10">
        <f t="shared" si="26"/>
        <v>0</v>
      </c>
      <c r="BJ70" s="10">
        <f t="shared" si="26"/>
        <v>0</v>
      </c>
      <c r="BK70" s="10">
        <f t="shared" si="26"/>
        <v>0</v>
      </c>
      <c r="BL70" s="10">
        <f t="shared" si="26"/>
        <v>0</v>
      </c>
      <c r="BM70" s="10">
        <f t="shared" si="26"/>
        <v>0</v>
      </c>
      <c r="BN70" s="10">
        <f t="shared" ref="BN70:BZ70" si="27">SUM(BN68:BN69)</f>
        <v>0</v>
      </c>
      <c r="BO70" s="10">
        <f t="shared" si="27"/>
        <v>0</v>
      </c>
      <c r="BP70" s="10">
        <f t="shared" si="27"/>
        <v>0</v>
      </c>
      <c r="BQ70" s="10">
        <f t="shared" si="27"/>
        <v>0</v>
      </c>
      <c r="BR70" s="10">
        <f t="shared" si="27"/>
        <v>0</v>
      </c>
      <c r="BS70" s="10">
        <f t="shared" si="27"/>
        <v>0</v>
      </c>
      <c r="BT70" s="10">
        <f t="shared" si="27"/>
        <v>0</v>
      </c>
      <c r="BU70" s="10">
        <f t="shared" si="27"/>
        <v>0</v>
      </c>
      <c r="BV70" s="10">
        <f t="shared" si="27"/>
        <v>0</v>
      </c>
      <c r="BW70" s="10">
        <f t="shared" si="27"/>
        <v>0</v>
      </c>
      <c r="BX70" s="10">
        <f t="shared" si="27"/>
        <v>0</v>
      </c>
      <c r="BY70" s="10">
        <f t="shared" si="27"/>
        <v>0</v>
      </c>
      <c r="BZ70" s="10">
        <f t="shared" si="27"/>
        <v>344.76</v>
      </c>
    </row>
    <row r="71" spans="1:78">
      <c r="A71" s="6" t="s">
        <v>148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</row>
    <row r="72" spans="1:78">
      <c r="A72" s="7" t="s">
        <v>149</v>
      </c>
      <c r="B72" s="8">
        <v>0</v>
      </c>
      <c r="C72" s="8">
        <v>2610.1399560000004</v>
      </c>
      <c r="D72" s="8">
        <v>735.576144</v>
      </c>
      <c r="E72" s="8">
        <v>284.98761600000006</v>
      </c>
      <c r="F72" s="8">
        <v>294.61557600000003</v>
      </c>
      <c r="G72" s="8">
        <v>90.502824000000018</v>
      </c>
      <c r="H72" s="8">
        <v>194.484792</v>
      </c>
      <c r="I72" s="8">
        <v>413.03948400000007</v>
      </c>
      <c r="J72" s="8">
        <v>786.604332</v>
      </c>
      <c r="K72" s="8">
        <v>351.42054000000002</v>
      </c>
      <c r="L72" s="8">
        <v>70.284108000000003</v>
      </c>
      <c r="M72" s="8">
        <v>196.41038400000002</v>
      </c>
      <c r="N72" s="8">
        <v>469.84444800000006</v>
      </c>
      <c r="O72" s="8">
        <v>91.465620000000001</v>
      </c>
      <c r="P72" s="8">
        <v>15.404736000000002</v>
      </c>
      <c r="Q72" s="8">
        <v>22.144308000000002</v>
      </c>
      <c r="R72" s="8">
        <v>22.144308000000002</v>
      </c>
      <c r="S72" s="8">
        <v>4.8139800000000008</v>
      </c>
      <c r="T72" s="8">
        <v>18.293124000000002</v>
      </c>
      <c r="U72" s="8">
        <v>111.684336</v>
      </c>
      <c r="V72" s="8">
        <v>0</v>
      </c>
      <c r="W72" s="8">
        <v>0</v>
      </c>
      <c r="X72" s="8">
        <v>336.97860000000009</v>
      </c>
      <c r="Y72" s="8">
        <v>0</v>
      </c>
      <c r="Z72" s="8">
        <v>0</v>
      </c>
      <c r="AA72" s="8">
        <v>0</v>
      </c>
      <c r="AB72" s="8">
        <v>690.32473200000004</v>
      </c>
      <c r="AC72" s="8">
        <v>0</v>
      </c>
      <c r="AD72" s="8">
        <v>0</v>
      </c>
      <c r="AE72" s="8">
        <v>0</v>
      </c>
      <c r="AF72" s="8">
        <v>617.15223600000013</v>
      </c>
      <c r="AG72" s="8">
        <v>279.21084000000002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55.842168000000001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161.749728</v>
      </c>
      <c r="AW72" s="8">
        <v>0</v>
      </c>
      <c r="AX72" s="8">
        <v>0</v>
      </c>
      <c r="AY72" s="8">
        <v>483.32359200000008</v>
      </c>
      <c r="AZ72" s="8">
        <v>38.511840000000007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181.00564800000004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0</v>
      </c>
      <c r="BO72" s="8">
        <v>0</v>
      </c>
      <c r="BP72" s="8">
        <v>0</v>
      </c>
      <c r="BQ72" s="8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0</v>
      </c>
      <c r="BX72" s="8">
        <v>0</v>
      </c>
      <c r="BY72" s="8">
        <v>0</v>
      </c>
      <c r="BZ72" s="8">
        <f>SUM(B72:BY72)</f>
        <v>9627.9600000000009</v>
      </c>
    </row>
    <row r="73" spans="1:78">
      <c r="A73" s="7" t="s">
        <v>150</v>
      </c>
      <c r="B73" s="8">
        <v>0</v>
      </c>
      <c r="C73" s="8">
        <v>1003.8561900000001</v>
      </c>
      <c r="D73" s="8">
        <v>282.90156000000002</v>
      </c>
      <c r="E73" s="8">
        <v>109.60584</v>
      </c>
      <c r="F73" s="8">
        <v>113.30874</v>
      </c>
      <c r="G73" s="8">
        <v>34.807259999999999</v>
      </c>
      <c r="H73" s="8">
        <v>74.798580000000001</v>
      </c>
      <c r="I73" s="8">
        <v>158.85441</v>
      </c>
      <c r="J73" s="8">
        <v>302.52692999999999</v>
      </c>
      <c r="K73" s="8">
        <v>135.15584999999999</v>
      </c>
      <c r="L73" s="8">
        <v>27.031169999999999</v>
      </c>
      <c r="M73" s="8">
        <v>75.53916000000001</v>
      </c>
      <c r="N73" s="8">
        <v>180.70152000000002</v>
      </c>
      <c r="O73" s="8">
        <v>35.177549999999997</v>
      </c>
      <c r="P73" s="8">
        <v>5.9246400000000001</v>
      </c>
      <c r="Q73" s="8">
        <v>8.5166699999999995</v>
      </c>
      <c r="R73" s="8">
        <v>8.5166699999999995</v>
      </c>
      <c r="S73" s="8">
        <v>1.85145</v>
      </c>
      <c r="T73" s="8">
        <v>7.0355100000000004</v>
      </c>
      <c r="U73" s="8">
        <v>42.95364</v>
      </c>
      <c r="V73" s="8">
        <v>0</v>
      </c>
      <c r="W73" s="8">
        <v>0</v>
      </c>
      <c r="X73" s="8">
        <v>129.60150000000002</v>
      </c>
      <c r="Y73" s="8">
        <v>0</v>
      </c>
      <c r="Z73" s="8">
        <v>0</v>
      </c>
      <c r="AA73" s="8">
        <v>0</v>
      </c>
      <c r="AB73" s="8">
        <v>265.49793</v>
      </c>
      <c r="AC73" s="8">
        <v>0</v>
      </c>
      <c r="AD73" s="8">
        <v>0</v>
      </c>
      <c r="AE73" s="8">
        <v>0</v>
      </c>
      <c r="AF73" s="8">
        <v>237.35589000000002</v>
      </c>
      <c r="AG73" s="8">
        <v>107.3841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21.47682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62.20872</v>
      </c>
      <c r="AW73" s="8">
        <v>0</v>
      </c>
      <c r="AX73" s="8">
        <v>0</v>
      </c>
      <c r="AY73" s="8">
        <v>185.88558</v>
      </c>
      <c r="AZ73" s="8">
        <v>14.8116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69.614519999999999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  <c r="BN73" s="8">
        <v>0</v>
      </c>
      <c r="BO73" s="8">
        <v>0</v>
      </c>
      <c r="BP73" s="8">
        <v>0</v>
      </c>
      <c r="BQ73" s="8">
        <v>0</v>
      </c>
      <c r="BR73" s="8">
        <v>0</v>
      </c>
      <c r="BS73" s="8">
        <v>0</v>
      </c>
      <c r="BT73" s="8">
        <v>0</v>
      </c>
      <c r="BU73" s="8">
        <v>0</v>
      </c>
      <c r="BV73" s="8">
        <v>0</v>
      </c>
      <c r="BW73" s="8">
        <v>0</v>
      </c>
      <c r="BX73" s="8">
        <v>0</v>
      </c>
      <c r="BY73" s="8">
        <v>0</v>
      </c>
      <c r="BZ73" s="8">
        <f>SUM(B73:BY73)</f>
        <v>3702.900000000001</v>
      </c>
    </row>
    <row r="74" spans="1:78">
      <c r="A74" s="7" t="s">
        <v>151</v>
      </c>
      <c r="B74" s="8">
        <v>0</v>
      </c>
      <c r="C74" s="8">
        <v>1849.5743279999999</v>
      </c>
      <c r="D74" s="8">
        <v>521.23747199999991</v>
      </c>
      <c r="E74" s="8">
        <v>201.94540799999999</v>
      </c>
      <c r="F74" s="8">
        <v>208.76788799999997</v>
      </c>
      <c r="G74" s="8">
        <v>64.131311999999994</v>
      </c>
      <c r="H74" s="8">
        <v>137.81409599999998</v>
      </c>
      <c r="I74" s="8">
        <v>292.684392</v>
      </c>
      <c r="J74" s="8">
        <v>557.39661599999988</v>
      </c>
      <c r="K74" s="8">
        <v>249.02051999999998</v>
      </c>
      <c r="L74" s="8">
        <v>49.804103999999995</v>
      </c>
      <c r="M74" s="8">
        <v>139.17859200000001</v>
      </c>
      <c r="N74" s="8">
        <v>332.93702400000001</v>
      </c>
      <c r="O74" s="8">
        <v>64.813559999999995</v>
      </c>
      <c r="P74" s="8">
        <v>10.915967999999999</v>
      </c>
      <c r="Q74" s="8">
        <v>15.691703999999998</v>
      </c>
      <c r="R74" s="8">
        <v>15.691703999999998</v>
      </c>
      <c r="S74" s="8">
        <v>3.4112399999999998</v>
      </c>
      <c r="T74" s="8">
        <v>12.962712</v>
      </c>
      <c r="U74" s="8">
        <v>79.140767999999994</v>
      </c>
      <c r="V74" s="8">
        <v>0</v>
      </c>
      <c r="W74" s="8">
        <v>0</v>
      </c>
      <c r="X74" s="8">
        <v>238.7868</v>
      </c>
      <c r="Y74" s="8">
        <v>0</v>
      </c>
      <c r="Z74" s="8">
        <v>0</v>
      </c>
      <c r="AA74" s="8">
        <v>0</v>
      </c>
      <c r="AB74" s="8">
        <v>489.17181599999998</v>
      </c>
      <c r="AC74" s="8">
        <v>0</v>
      </c>
      <c r="AD74" s="8">
        <v>0</v>
      </c>
      <c r="AE74" s="8">
        <v>0</v>
      </c>
      <c r="AF74" s="8">
        <v>437.32096799999999</v>
      </c>
      <c r="AG74" s="8">
        <v>197.85192000000001</v>
      </c>
      <c r="AH74" s="8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8">
        <v>39.570383999999997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114.61766399999999</v>
      </c>
      <c r="AW74" s="8">
        <v>0</v>
      </c>
      <c r="AX74" s="8">
        <v>0</v>
      </c>
      <c r="AY74" s="8">
        <v>342.488496</v>
      </c>
      <c r="AZ74" s="8">
        <v>27.289919999999999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128.26262399999999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8">
        <v>0</v>
      </c>
      <c r="BM74" s="8">
        <v>0</v>
      </c>
      <c r="BN74" s="8">
        <v>0</v>
      </c>
      <c r="BO74" s="8">
        <v>0</v>
      </c>
      <c r="BP74" s="8">
        <v>0</v>
      </c>
      <c r="BQ74" s="8">
        <v>0</v>
      </c>
      <c r="BR74" s="8">
        <v>0</v>
      </c>
      <c r="BS74" s="8">
        <v>0</v>
      </c>
      <c r="BT74" s="8">
        <v>0</v>
      </c>
      <c r="BU74" s="8">
        <v>0</v>
      </c>
      <c r="BV74" s="8">
        <v>0</v>
      </c>
      <c r="BW74" s="8">
        <v>0</v>
      </c>
      <c r="BX74" s="8">
        <v>0</v>
      </c>
      <c r="BY74" s="8">
        <v>0</v>
      </c>
      <c r="BZ74" s="8">
        <f>SUM(B74:BY74)</f>
        <v>6822.48</v>
      </c>
    </row>
    <row r="75" spans="1:78">
      <c r="A75" s="7" t="s">
        <v>152</v>
      </c>
      <c r="B75" s="8">
        <v>0</v>
      </c>
      <c r="C75" s="8">
        <v>242.04892400000003</v>
      </c>
      <c r="D75" s="8">
        <v>68.212975999999998</v>
      </c>
      <c r="E75" s="8">
        <v>26.428064000000003</v>
      </c>
      <c r="F75" s="8">
        <v>27.320903999999999</v>
      </c>
      <c r="G75" s="8">
        <v>8.3926960000000008</v>
      </c>
      <c r="H75" s="8">
        <v>18.035367999999998</v>
      </c>
      <c r="I75" s="8">
        <v>38.302835999999999</v>
      </c>
      <c r="J75" s="8">
        <v>72.945027999999994</v>
      </c>
      <c r="K75" s="8">
        <v>32.588659999999997</v>
      </c>
      <c r="L75" s="8">
        <v>6.5177320000000005</v>
      </c>
      <c r="M75" s="8">
        <v>18.213936</v>
      </c>
      <c r="N75" s="8">
        <v>43.570592000000005</v>
      </c>
      <c r="O75" s="8">
        <v>8.4819800000000001</v>
      </c>
      <c r="P75" s="8">
        <v>1.428544</v>
      </c>
      <c r="Q75" s="8">
        <v>2.0535320000000001</v>
      </c>
      <c r="R75" s="8">
        <v>2.0535320000000001</v>
      </c>
      <c r="S75" s="8">
        <v>0.44642000000000004</v>
      </c>
      <c r="T75" s="8">
        <v>1.696396</v>
      </c>
      <c r="U75" s="8">
        <v>10.356944</v>
      </c>
      <c r="V75" s="8">
        <v>0</v>
      </c>
      <c r="W75" s="8">
        <v>0</v>
      </c>
      <c r="X75" s="8">
        <v>31.249400000000005</v>
      </c>
      <c r="Y75" s="8">
        <v>0</v>
      </c>
      <c r="Z75" s="8">
        <v>0</v>
      </c>
      <c r="AA75" s="8">
        <v>0</v>
      </c>
      <c r="AB75" s="8">
        <v>64.016627999999997</v>
      </c>
      <c r="AC75" s="8">
        <v>0</v>
      </c>
      <c r="AD75" s="8">
        <v>0</v>
      </c>
      <c r="AE75" s="8">
        <v>0</v>
      </c>
      <c r="AF75" s="8">
        <v>57.231044000000004</v>
      </c>
      <c r="AG75" s="8">
        <v>25.892360000000004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5.1784720000000002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14.999711999999999</v>
      </c>
      <c r="AW75" s="8">
        <v>0</v>
      </c>
      <c r="AX75" s="8">
        <v>0</v>
      </c>
      <c r="AY75" s="8">
        <v>44.820568000000002</v>
      </c>
      <c r="AZ75" s="8">
        <v>3.5713600000000003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16.785392000000002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  <c r="BN75" s="8">
        <v>0</v>
      </c>
      <c r="BO75" s="8">
        <v>0</v>
      </c>
      <c r="BP75" s="8">
        <v>0</v>
      </c>
      <c r="BQ75" s="8">
        <v>0</v>
      </c>
      <c r="BR75" s="8">
        <v>0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>
        <f>SUM(B75:BY75)</f>
        <v>892.84000000000026</v>
      </c>
    </row>
    <row r="76" spans="1:78">
      <c r="A76" s="7" t="s">
        <v>153</v>
      </c>
      <c r="B76" s="8">
        <v>0</v>
      </c>
      <c r="C76" s="8">
        <v>678.82897800000001</v>
      </c>
      <c r="D76" s="8">
        <v>191.30407199999999</v>
      </c>
      <c r="E76" s="8">
        <v>74.117808000000011</v>
      </c>
      <c r="F76" s="8">
        <v>76.621787999999995</v>
      </c>
      <c r="G76" s="8">
        <v>23.537412</v>
      </c>
      <c r="H76" s="8">
        <v>50.580396</v>
      </c>
      <c r="I76" s="8">
        <v>107.420742</v>
      </c>
      <c r="J76" s="8">
        <v>204.575166</v>
      </c>
      <c r="K76" s="8">
        <v>91.395269999999996</v>
      </c>
      <c r="L76" s="8">
        <v>18.279053999999999</v>
      </c>
      <c r="M76" s="8">
        <v>51.081192000000001</v>
      </c>
      <c r="N76" s="8">
        <v>122.19422400000001</v>
      </c>
      <c r="O76" s="8">
        <v>23.78781</v>
      </c>
      <c r="P76" s="8">
        <v>4.0063680000000002</v>
      </c>
      <c r="Q76" s="8">
        <v>5.7591539999999997</v>
      </c>
      <c r="R76" s="8">
        <v>5.7591539999999997</v>
      </c>
      <c r="S76" s="8">
        <v>1.2519899999999999</v>
      </c>
      <c r="T76" s="8">
        <v>4.7575620000000001</v>
      </c>
      <c r="U76" s="8">
        <v>29.046167999999998</v>
      </c>
      <c r="V76" s="8">
        <v>0</v>
      </c>
      <c r="W76" s="8">
        <v>0</v>
      </c>
      <c r="X76" s="8">
        <v>87.639300000000006</v>
      </c>
      <c r="Y76" s="8">
        <v>0</v>
      </c>
      <c r="Z76" s="8">
        <v>0</v>
      </c>
      <c r="AA76" s="8">
        <v>0</v>
      </c>
      <c r="AB76" s="8">
        <v>179.53536600000001</v>
      </c>
      <c r="AC76" s="8">
        <v>0</v>
      </c>
      <c r="AD76" s="8">
        <v>0</v>
      </c>
      <c r="AE76" s="8">
        <v>0</v>
      </c>
      <c r="AF76" s="8">
        <v>160.50511800000001</v>
      </c>
      <c r="AG76" s="8">
        <v>72.61542</v>
      </c>
      <c r="AH76" s="8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8">
        <v>14.523083999999999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42.066863999999995</v>
      </c>
      <c r="AW76" s="8">
        <v>0</v>
      </c>
      <c r="AX76" s="8">
        <v>0</v>
      </c>
      <c r="AY76" s="8">
        <v>125.69979600000001</v>
      </c>
      <c r="AZ76" s="8">
        <v>10.015919999999999</v>
      </c>
      <c r="BA76" s="8">
        <v>0</v>
      </c>
      <c r="BB76" s="8">
        <v>0</v>
      </c>
      <c r="BC76" s="8">
        <v>0</v>
      </c>
      <c r="BD76" s="8">
        <v>0</v>
      </c>
      <c r="BE76" s="8">
        <v>0</v>
      </c>
      <c r="BF76" s="8">
        <v>47.074824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  <c r="BN76" s="8">
        <v>0</v>
      </c>
      <c r="BO76" s="8">
        <v>0</v>
      </c>
      <c r="BP76" s="8">
        <v>0</v>
      </c>
      <c r="BQ76" s="8">
        <v>0</v>
      </c>
      <c r="BR76" s="8">
        <v>0</v>
      </c>
      <c r="BS76" s="8">
        <v>0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8">
        <v>0</v>
      </c>
      <c r="BZ76" s="8">
        <f>SUM(B76:BY76)</f>
        <v>2503.98</v>
      </c>
    </row>
    <row r="77" spans="1:78">
      <c r="A77" s="9" t="s">
        <v>154</v>
      </c>
      <c r="B77" s="10">
        <f t="shared" ref="B77:BM77" si="28">SUM(B72:B76)</f>
        <v>0</v>
      </c>
      <c r="C77" s="10">
        <f t="shared" si="28"/>
        <v>6384.4483760000003</v>
      </c>
      <c r="D77" s="10">
        <f t="shared" si="28"/>
        <v>1799.2322239999999</v>
      </c>
      <c r="E77" s="10">
        <f t="shared" si="28"/>
        <v>697.08473600000002</v>
      </c>
      <c r="F77" s="10">
        <f t="shared" si="28"/>
        <v>720.63489600000003</v>
      </c>
      <c r="G77" s="10">
        <f t="shared" si="28"/>
        <v>221.37150399999999</v>
      </c>
      <c r="H77" s="10">
        <f t="shared" si="28"/>
        <v>475.71323199999995</v>
      </c>
      <c r="I77" s="10">
        <f t="shared" si="28"/>
        <v>1010.301864</v>
      </c>
      <c r="J77" s="10">
        <f t="shared" si="28"/>
        <v>1924.048072</v>
      </c>
      <c r="K77" s="10">
        <f t="shared" si="28"/>
        <v>859.58083999999997</v>
      </c>
      <c r="L77" s="10">
        <f t="shared" si="28"/>
        <v>171.916168</v>
      </c>
      <c r="M77" s="10">
        <f t="shared" si="28"/>
        <v>480.42326400000002</v>
      </c>
      <c r="N77" s="10">
        <f t="shared" si="28"/>
        <v>1149.2478080000003</v>
      </c>
      <c r="O77" s="10">
        <f t="shared" si="28"/>
        <v>223.72651999999999</v>
      </c>
      <c r="P77" s="10">
        <f t="shared" si="28"/>
        <v>37.680256000000007</v>
      </c>
      <c r="Q77" s="10">
        <f t="shared" si="28"/>
        <v>54.165368000000001</v>
      </c>
      <c r="R77" s="10">
        <f t="shared" si="28"/>
        <v>54.165368000000001</v>
      </c>
      <c r="S77" s="10">
        <f t="shared" si="28"/>
        <v>11.775079999999999</v>
      </c>
      <c r="T77" s="10">
        <f t="shared" si="28"/>
        <v>44.745304000000004</v>
      </c>
      <c r="U77" s="10">
        <f t="shared" si="28"/>
        <v>273.18185600000004</v>
      </c>
      <c r="V77" s="10">
        <f t="shared" si="28"/>
        <v>0</v>
      </c>
      <c r="W77" s="10">
        <f t="shared" si="28"/>
        <v>0</v>
      </c>
      <c r="X77" s="10">
        <f t="shared" si="28"/>
        <v>824.25560000000019</v>
      </c>
      <c r="Y77" s="10">
        <f t="shared" si="28"/>
        <v>0</v>
      </c>
      <c r="Z77" s="10">
        <f t="shared" si="28"/>
        <v>0</v>
      </c>
      <c r="AA77" s="10">
        <f t="shared" si="28"/>
        <v>0</v>
      </c>
      <c r="AB77" s="10">
        <f t="shared" si="28"/>
        <v>1688.5464720000002</v>
      </c>
      <c r="AC77" s="10">
        <f t="shared" si="28"/>
        <v>0</v>
      </c>
      <c r="AD77" s="10">
        <f t="shared" si="28"/>
        <v>0</v>
      </c>
      <c r="AE77" s="10">
        <f t="shared" si="28"/>
        <v>0</v>
      </c>
      <c r="AF77" s="10">
        <f t="shared" si="28"/>
        <v>1509.5652560000003</v>
      </c>
      <c r="AG77" s="10">
        <f t="shared" si="28"/>
        <v>682.95464000000004</v>
      </c>
      <c r="AH77" s="10">
        <f t="shared" si="28"/>
        <v>0</v>
      </c>
      <c r="AI77" s="10">
        <f t="shared" si="28"/>
        <v>0</v>
      </c>
      <c r="AJ77" s="10">
        <f t="shared" si="28"/>
        <v>0</v>
      </c>
      <c r="AK77" s="10">
        <f t="shared" si="28"/>
        <v>0</v>
      </c>
      <c r="AL77" s="10">
        <f t="shared" si="28"/>
        <v>0</v>
      </c>
      <c r="AM77" s="10">
        <f t="shared" si="28"/>
        <v>0</v>
      </c>
      <c r="AN77" s="10">
        <f t="shared" si="28"/>
        <v>0</v>
      </c>
      <c r="AO77" s="10">
        <f t="shared" si="28"/>
        <v>0</v>
      </c>
      <c r="AP77" s="10">
        <f t="shared" si="28"/>
        <v>136.59092800000002</v>
      </c>
      <c r="AQ77" s="10">
        <f t="shared" si="28"/>
        <v>0</v>
      </c>
      <c r="AR77" s="10">
        <f t="shared" si="28"/>
        <v>0</v>
      </c>
      <c r="AS77" s="10">
        <f t="shared" si="28"/>
        <v>0</v>
      </c>
      <c r="AT77" s="10">
        <f t="shared" si="28"/>
        <v>0</v>
      </c>
      <c r="AU77" s="10">
        <f t="shared" si="28"/>
        <v>0</v>
      </c>
      <c r="AV77" s="10">
        <f t="shared" si="28"/>
        <v>395.64268799999996</v>
      </c>
      <c r="AW77" s="10">
        <f t="shared" si="28"/>
        <v>0</v>
      </c>
      <c r="AX77" s="10">
        <f t="shared" si="28"/>
        <v>0</v>
      </c>
      <c r="AY77" s="10">
        <f t="shared" si="28"/>
        <v>1182.2180320000002</v>
      </c>
      <c r="AZ77" s="10">
        <f t="shared" si="28"/>
        <v>94.200639999999993</v>
      </c>
      <c r="BA77" s="10">
        <f t="shared" si="28"/>
        <v>0</v>
      </c>
      <c r="BB77" s="10">
        <f t="shared" si="28"/>
        <v>0</v>
      </c>
      <c r="BC77" s="10">
        <f t="shared" si="28"/>
        <v>0</v>
      </c>
      <c r="BD77" s="10">
        <f t="shared" si="28"/>
        <v>0</v>
      </c>
      <c r="BE77" s="10">
        <f t="shared" si="28"/>
        <v>0</v>
      </c>
      <c r="BF77" s="10">
        <f t="shared" si="28"/>
        <v>442.74300799999997</v>
      </c>
      <c r="BG77" s="10">
        <f t="shared" si="28"/>
        <v>0</v>
      </c>
      <c r="BH77" s="10">
        <f t="shared" si="28"/>
        <v>0</v>
      </c>
      <c r="BI77" s="10">
        <f t="shared" si="28"/>
        <v>0</v>
      </c>
      <c r="BJ77" s="10">
        <f t="shared" si="28"/>
        <v>0</v>
      </c>
      <c r="BK77" s="10">
        <f t="shared" si="28"/>
        <v>0</v>
      </c>
      <c r="BL77" s="10">
        <f t="shared" si="28"/>
        <v>0</v>
      </c>
      <c r="BM77" s="10">
        <f t="shared" si="28"/>
        <v>0</v>
      </c>
      <c r="BN77" s="10">
        <f t="shared" ref="BN77:BZ77" si="29">SUM(BN72:BN76)</f>
        <v>0</v>
      </c>
      <c r="BO77" s="10">
        <f t="shared" si="29"/>
        <v>0</v>
      </c>
      <c r="BP77" s="10">
        <f t="shared" si="29"/>
        <v>0</v>
      </c>
      <c r="BQ77" s="10">
        <f t="shared" si="29"/>
        <v>0</v>
      </c>
      <c r="BR77" s="10">
        <f t="shared" si="29"/>
        <v>0</v>
      </c>
      <c r="BS77" s="10">
        <f t="shared" si="29"/>
        <v>0</v>
      </c>
      <c r="BT77" s="10">
        <f t="shared" si="29"/>
        <v>0</v>
      </c>
      <c r="BU77" s="10">
        <f t="shared" si="29"/>
        <v>0</v>
      </c>
      <c r="BV77" s="10">
        <f t="shared" si="29"/>
        <v>0</v>
      </c>
      <c r="BW77" s="10">
        <f t="shared" si="29"/>
        <v>0</v>
      </c>
      <c r="BX77" s="10">
        <f t="shared" si="29"/>
        <v>0</v>
      </c>
      <c r="BY77" s="10">
        <f t="shared" si="29"/>
        <v>0</v>
      </c>
      <c r="BZ77" s="10">
        <f t="shared" si="29"/>
        <v>23550.160000000003</v>
      </c>
    </row>
    <row r="78" spans="1:78">
      <c r="A78" s="6" t="s">
        <v>155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</row>
    <row r="79" spans="1:78">
      <c r="A79" s="7" t="s">
        <v>156</v>
      </c>
      <c r="B79" s="8">
        <v>0</v>
      </c>
      <c r="C79" s="8">
        <v>54.31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0</v>
      </c>
      <c r="BO79" s="8">
        <v>0</v>
      </c>
      <c r="BP79" s="8">
        <v>0</v>
      </c>
      <c r="BQ79" s="8">
        <v>0</v>
      </c>
      <c r="BR79" s="8">
        <v>0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0</v>
      </c>
      <c r="BY79" s="8">
        <v>0</v>
      </c>
      <c r="BZ79" s="8">
        <f>SUM(B79:BY79)</f>
        <v>54.31</v>
      </c>
    </row>
    <row r="80" spans="1:78">
      <c r="A80" s="7" t="s">
        <v>157</v>
      </c>
      <c r="B80" s="8">
        <v>0</v>
      </c>
      <c r="C80" s="8">
        <v>1404.19</v>
      </c>
      <c r="D80" s="8">
        <v>22.69</v>
      </c>
      <c r="E80" s="8">
        <v>216.23</v>
      </c>
      <c r="F80" s="8">
        <v>0</v>
      </c>
      <c r="G80" s="8">
        <v>404.72</v>
      </c>
      <c r="H80" s="8">
        <v>0</v>
      </c>
      <c r="I80" s="8">
        <v>815.07</v>
      </c>
      <c r="J80" s="8">
        <v>140.41</v>
      </c>
      <c r="K80" s="8">
        <v>0</v>
      </c>
      <c r="L80" s="8">
        <v>0</v>
      </c>
      <c r="M80" s="8">
        <v>0</v>
      </c>
      <c r="N80" s="8">
        <v>30.34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28.5</v>
      </c>
      <c r="AA80" s="8">
        <v>0</v>
      </c>
      <c r="AB80" s="8">
        <v>0</v>
      </c>
      <c r="AC80" s="8">
        <v>0</v>
      </c>
      <c r="AD80" s="8">
        <v>0</v>
      </c>
      <c r="AE80" s="8">
        <v>18.690000000000001</v>
      </c>
      <c r="AF80" s="8">
        <v>3685.53</v>
      </c>
      <c r="AG80" s="8">
        <v>2147.25</v>
      </c>
      <c r="AH80" s="8">
        <v>0</v>
      </c>
      <c r="AI80" s="8">
        <v>0</v>
      </c>
      <c r="AJ80" s="8">
        <v>7.12</v>
      </c>
      <c r="AK80" s="8">
        <v>176.3</v>
      </c>
      <c r="AL80" s="8">
        <v>0</v>
      </c>
      <c r="AM80" s="8">
        <v>0</v>
      </c>
      <c r="AN80" s="8">
        <v>0</v>
      </c>
      <c r="AO80" s="8">
        <v>0</v>
      </c>
      <c r="AP80" s="8">
        <v>0</v>
      </c>
      <c r="AQ80" s="8">
        <v>35.619999999999997</v>
      </c>
      <c r="AR80" s="8">
        <v>0</v>
      </c>
      <c r="AS80" s="8">
        <v>0</v>
      </c>
      <c r="AT80" s="8">
        <v>0</v>
      </c>
      <c r="AU80" s="8">
        <v>0</v>
      </c>
      <c r="AV80" s="8">
        <v>219.42</v>
      </c>
      <c r="AW80" s="8">
        <v>83.22</v>
      </c>
      <c r="AX80" s="8">
        <v>0</v>
      </c>
      <c r="AY80" s="8">
        <v>0</v>
      </c>
      <c r="AZ80" s="8">
        <v>0</v>
      </c>
      <c r="BA80" s="8">
        <v>1783.44</v>
      </c>
      <c r="BB80" s="8">
        <v>90.92</v>
      </c>
      <c r="BC80" s="8">
        <v>172.79</v>
      </c>
      <c r="BD80" s="8">
        <v>13.35</v>
      </c>
      <c r="BE80" s="8">
        <v>272.63</v>
      </c>
      <c r="BF80" s="8">
        <v>0</v>
      </c>
      <c r="BG80" s="8">
        <v>0</v>
      </c>
      <c r="BH80" s="8">
        <v>0</v>
      </c>
      <c r="BI80" s="8">
        <v>0</v>
      </c>
      <c r="BJ80" s="8">
        <v>0</v>
      </c>
      <c r="BK80" s="8">
        <v>0</v>
      </c>
      <c r="BL80" s="8">
        <v>0</v>
      </c>
      <c r="BM80" s="8">
        <v>0</v>
      </c>
      <c r="BN80" s="8">
        <v>0</v>
      </c>
      <c r="BO80" s="8">
        <v>0</v>
      </c>
      <c r="BP80" s="8">
        <v>0</v>
      </c>
      <c r="BQ80" s="8">
        <v>0</v>
      </c>
      <c r="BR80" s="8">
        <v>0</v>
      </c>
      <c r="BS80" s="8">
        <v>0</v>
      </c>
      <c r="BT80" s="8">
        <v>0</v>
      </c>
      <c r="BU80" s="8">
        <v>0</v>
      </c>
      <c r="BV80" s="8">
        <v>0</v>
      </c>
      <c r="BW80" s="8">
        <v>0</v>
      </c>
      <c r="BX80" s="8">
        <v>0</v>
      </c>
      <c r="BY80" s="8">
        <v>0</v>
      </c>
      <c r="BZ80" s="8">
        <f>SUM(B80:BY80)</f>
        <v>11768.430000000002</v>
      </c>
    </row>
    <row r="81" spans="1:78">
      <c r="A81" s="7" t="s">
        <v>158</v>
      </c>
      <c r="B81" s="8">
        <v>0</v>
      </c>
      <c r="C81" s="8">
        <v>3140.65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171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73.88</v>
      </c>
      <c r="AG81" s="8">
        <v>248.94</v>
      </c>
      <c r="AH81" s="8">
        <v>0</v>
      </c>
      <c r="AI81" s="8">
        <v>0</v>
      </c>
      <c r="AJ81" s="8">
        <v>0</v>
      </c>
      <c r="AK81" s="8">
        <v>0</v>
      </c>
      <c r="AL81" s="8">
        <v>0</v>
      </c>
      <c r="AM81" s="8">
        <v>0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0</v>
      </c>
      <c r="AU81" s="8">
        <v>0</v>
      </c>
      <c r="AV81" s="8">
        <v>0</v>
      </c>
      <c r="AW81" s="8">
        <v>0</v>
      </c>
      <c r="AX81" s="8">
        <v>0</v>
      </c>
      <c r="AY81" s="8">
        <v>0</v>
      </c>
      <c r="AZ81" s="8">
        <v>0</v>
      </c>
      <c r="BA81" s="8">
        <v>116.6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8">
        <v>0</v>
      </c>
      <c r="BH81" s="8">
        <v>0</v>
      </c>
      <c r="BI81" s="8">
        <v>0</v>
      </c>
      <c r="BJ81" s="8">
        <v>0</v>
      </c>
      <c r="BK81" s="8">
        <v>0</v>
      </c>
      <c r="BL81" s="8">
        <v>0</v>
      </c>
      <c r="BM81" s="8">
        <v>0</v>
      </c>
      <c r="BN81" s="8">
        <v>0</v>
      </c>
      <c r="BO81" s="8">
        <v>0</v>
      </c>
      <c r="BP81" s="8">
        <v>0</v>
      </c>
      <c r="BQ81" s="8">
        <v>0</v>
      </c>
      <c r="BR81" s="8">
        <v>0</v>
      </c>
      <c r="BS81" s="8">
        <v>0</v>
      </c>
      <c r="BT81" s="8">
        <v>0</v>
      </c>
      <c r="BU81" s="8">
        <v>0</v>
      </c>
      <c r="BV81" s="8">
        <v>0</v>
      </c>
      <c r="BW81" s="8">
        <v>0</v>
      </c>
      <c r="BX81" s="8">
        <v>0</v>
      </c>
      <c r="BY81" s="8">
        <v>0</v>
      </c>
      <c r="BZ81" s="8">
        <f>SUM(B81:BY81)</f>
        <v>3751.07</v>
      </c>
    </row>
    <row r="82" spans="1:78">
      <c r="A82" s="9" t="s">
        <v>159</v>
      </c>
      <c r="B82" s="10">
        <f t="shared" ref="B82:BM82" si="30">SUM(B79:B81)</f>
        <v>0</v>
      </c>
      <c r="C82" s="10">
        <f t="shared" si="30"/>
        <v>4599.1499999999996</v>
      </c>
      <c r="D82" s="10">
        <f t="shared" si="30"/>
        <v>22.69</v>
      </c>
      <c r="E82" s="10">
        <f t="shared" si="30"/>
        <v>216.23</v>
      </c>
      <c r="F82" s="10">
        <f t="shared" si="30"/>
        <v>0</v>
      </c>
      <c r="G82" s="10">
        <f t="shared" si="30"/>
        <v>404.72</v>
      </c>
      <c r="H82" s="10">
        <f t="shared" si="30"/>
        <v>0</v>
      </c>
      <c r="I82" s="10">
        <f t="shared" si="30"/>
        <v>815.07</v>
      </c>
      <c r="J82" s="10">
        <f t="shared" si="30"/>
        <v>140.41</v>
      </c>
      <c r="K82" s="10">
        <f t="shared" si="30"/>
        <v>171</v>
      </c>
      <c r="L82" s="10">
        <f t="shared" si="30"/>
        <v>0</v>
      </c>
      <c r="M82" s="10">
        <f t="shared" si="30"/>
        <v>0</v>
      </c>
      <c r="N82" s="10">
        <f t="shared" si="30"/>
        <v>30.34</v>
      </c>
      <c r="O82" s="10">
        <f t="shared" si="30"/>
        <v>0</v>
      </c>
      <c r="P82" s="10">
        <f t="shared" si="30"/>
        <v>0</v>
      </c>
      <c r="Q82" s="10">
        <f t="shared" si="30"/>
        <v>0</v>
      </c>
      <c r="R82" s="10">
        <f t="shared" si="30"/>
        <v>0</v>
      </c>
      <c r="S82" s="10">
        <f t="shared" si="30"/>
        <v>0</v>
      </c>
      <c r="T82" s="10">
        <f t="shared" si="30"/>
        <v>0</v>
      </c>
      <c r="U82" s="10">
        <f t="shared" si="30"/>
        <v>0</v>
      </c>
      <c r="V82" s="10">
        <f t="shared" si="30"/>
        <v>0</v>
      </c>
      <c r="W82" s="10">
        <f t="shared" si="30"/>
        <v>0</v>
      </c>
      <c r="X82" s="10">
        <f t="shared" si="30"/>
        <v>0</v>
      </c>
      <c r="Y82" s="10">
        <f t="shared" si="30"/>
        <v>0</v>
      </c>
      <c r="Z82" s="10">
        <f t="shared" si="30"/>
        <v>28.5</v>
      </c>
      <c r="AA82" s="10">
        <f t="shared" si="30"/>
        <v>0</v>
      </c>
      <c r="AB82" s="10">
        <f t="shared" si="30"/>
        <v>0</v>
      </c>
      <c r="AC82" s="10">
        <f t="shared" si="30"/>
        <v>0</v>
      </c>
      <c r="AD82" s="10">
        <f t="shared" si="30"/>
        <v>0</v>
      </c>
      <c r="AE82" s="10">
        <f t="shared" si="30"/>
        <v>18.690000000000001</v>
      </c>
      <c r="AF82" s="10">
        <f t="shared" si="30"/>
        <v>3759.4100000000003</v>
      </c>
      <c r="AG82" s="10">
        <f t="shared" si="30"/>
        <v>2396.19</v>
      </c>
      <c r="AH82" s="10">
        <f t="shared" si="30"/>
        <v>0</v>
      </c>
      <c r="AI82" s="10">
        <f t="shared" si="30"/>
        <v>0</v>
      </c>
      <c r="AJ82" s="10">
        <f t="shared" si="30"/>
        <v>7.12</v>
      </c>
      <c r="AK82" s="10">
        <f t="shared" si="30"/>
        <v>176.3</v>
      </c>
      <c r="AL82" s="10">
        <f t="shared" si="30"/>
        <v>0</v>
      </c>
      <c r="AM82" s="10">
        <f t="shared" si="30"/>
        <v>0</v>
      </c>
      <c r="AN82" s="10">
        <f t="shared" si="30"/>
        <v>0</v>
      </c>
      <c r="AO82" s="10">
        <f t="shared" si="30"/>
        <v>0</v>
      </c>
      <c r="AP82" s="10">
        <f t="shared" si="30"/>
        <v>0</v>
      </c>
      <c r="AQ82" s="10">
        <f t="shared" si="30"/>
        <v>35.619999999999997</v>
      </c>
      <c r="AR82" s="10">
        <f t="shared" si="30"/>
        <v>0</v>
      </c>
      <c r="AS82" s="10">
        <f t="shared" si="30"/>
        <v>0</v>
      </c>
      <c r="AT82" s="10">
        <f t="shared" si="30"/>
        <v>0</v>
      </c>
      <c r="AU82" s="10">
        <f t="shared" si="30"/>
        <v>0</v>
      </c>
      <c r="AV82" s="10">
        <f t="shared" si="30"/>
        <v>219.42</v>
      </c>
      <c r="AW82" s="10">
        <f t="shared" si="30"/>
        <v>83.22</v>
      </c>
      <c r="AX82" s="10">
        <f t="shared" si="30"/>
        <v>0</v>
      </c>
      <c r="AY82" s="10">
        <f t="shared" si="30"/>
        <v>0</v>
      </c>
      <c r="AZ82" s="10">
        <f t="shared" si="30"/>
        <v>0</v>
      </c>
      <c r="BA82" s="10">
        <f t="shared" si="30"/>
        <v>1900.04</v>
      </c>
      <c r="BB82" s="10">
        <f t="shared" si="30"/>
        <v>90.92</v>
      </c>
      <c r="BC82" s="10">
        <f t="shared" si="30"/>
        <v>172.79</v>
      </c>
      <c r="BD82" s="10">
        <f t="shared" si="30"/>
        <v>13.35</v>
      </c>
      <c r="BE82" s="10">
        <f t="shared" si="30"/>
        <v>272.63</v>
      </c>
      <c r="BF82" s="10">
        <f t="shared" si="30"/>
        <v>0</v>
      </c>
      <c r="BG82" s="10">
        <f t="shared" si="30"/>
        <v>0</v>
      </c>
      <c r="BH82" s="10">
        <f t="shared" si="30"/>
        <v>0</v>
      </c>
      <c r="BI82" s="10">
        <f t="shared" si="30"/>
        <v>0</v>
      </c>
      <c r="BJ82" s="10">
        <f t="shared" si="30"/>
        <v>0</v>
      </c>
      <c r="BK82" s="10">
        <f t="shared" si="30"/>
        <v>0</v>
      </c>
      <c r="BL82" s="10">
        <f t="shared" si="30"/>
        <v>0</v>
      </c>
      <c r="BM82" s="10">
        <f t="shared" si="30"/>
        <v>0</v>
      </c>
      <c r="BN82" s="10">
        <f t="shared" ref="BN82:BZ82" si="31">SUM(BN79:BN81)</f>
        <v>0</v>
      </c>
      <c r="BO82" s="10">
        <f t="shared" si="31"/>
        <v>0</v>
      </c>
      <c r="BP82" s="10">
        <f t="shared" si="31"/>
        <v>0</v>
      </c>
      <c r="BQ82" s="10">
        <f t="shared" si="31"/>
        <v>0</v>
      </c>
      <c r="BR82" s="10">
        <f t="shared" si="31"/>
        <v>0</v>
      </c>
      <c r="BS82" s="10">
        <f t="shared" si="31"/>
        <v>0</v>
      </c>
      <c r="BT82" s="10">
        <f t="shared" si="31"/>
        <v>0</v>
      </c>
      <c r="BU82" s="10">
        <f t="shared" si="31"/>
        <v>0</v>
      </c>
      <c r="BV82" s="10">
        <f t="shared" si="31"/>
        <v>0</v>
      </c>
      <c r="BW82" s="10">
        <f t="shared" si="31"/>
        <v>0</v>
      </c>
      <c r="BX82" s="10">
        <f t="shared" si="31"/>
        <v>0</v>
      </c>
      <c r="BY82" s="10">
        <f t="shared" si="31"/>
        <v>0</v>
      </c>
      <c r="BZ82" s="10">
        <f t="shared" si="31"/>
        <v>15573.810000000001</v>
      </c>
    </row>
    <row r="83" spans="1:78">
      <c r="A83" s="6" t="s">
        <v>160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</row>
    <row r="84" spans="1:78">
      <c r="A84" s="7" t="s">
        <v>161</v>
      </c>
      <c r="B84" s="8">
        <v>0</v>
      </c>
      <c r="C84" s="8">
        <v>3750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0</v>
      </c>
      <c r="AJ84" s="8">
        <v>0</v>
      </c>
      <c r="AK84" s="8">
        <v>2568.2399999999998</v>
      </c>
      <c r="AL84" s="8">
        <v>0</v>
      </c>
      <c r="AM84" s="8">
        <v>0</v>
      </c>
      <c r="AN84" s="8">
        <v>0</v>
      </c>
      <c r="AO84" s="8">
        <v>-500</v>
      </c>
      <c r="AP84" s="8">
        <v>0</v>
      </c>
      <c r="AQ84" s="8">
        <v>0</v>
      </c>
      <c r="AR84" s="8">
        <v>0</v>
      </c>
      <c r="AS84" s="8">
        <v>0</v>
      </c>
      <c r="AT84" s="8">
        <v>0</v>
      </c>
      <c r="AU84" s="8">
        <v>0</v>
      </c>
      <c r="AV84" s="8">
        <v>0</v>
      </c>
      <c r="AW84" s="8">
        <v>0</v>
      </c>
      <c r="AX84" s="8">
        <v>0</v>
      </c>
      <c r="AY84" s="8">
        <v>0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500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0</v>
      </c>
      <c r="BX84" s="8">
        <v>0</v>
      </c>
      <c r="BY84" s="8">
        <v>0</v>
      </c>
      <c r="BZ84" s="8">
        <f>SUM(B84:BY84)</f>
        <v>6318.24</v>
      </c>
    </row>
    <row r="85" spans="1:78">
      <c r="A85" s="7" t="s">
        <v>162</v>
      </c>
      <c r="B85" s="8">
        <v>0</v>
      </c>
      <c r="C85" s="8">
        <v>990</v>
      </c>
      <c r="D85" s="8">
        <v>15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</v>
      </c>
      <c r="AL85" s="8">
        <v>0</v>
      </c>
      <c r="AM85" s="8">
        <v>0</v>
      </c>
      <c r="AN85" s="8">
        <v>0</v>
      </c>
      <c r="AO85" s="8">
        <v>0</v>
      </c>
      <c r="AP85" s="8">
        <v>0</v>
      </c>
      <c r="AQ85" s="8">
        <v>0</v>
      </c>
      <c r="AR85" s="8">
        <v>0</v>
      </c>
      <c r="AS85" s="8">
        <v>0</v>
      </c>
      <c r="AT85" s="8">
        <v>0</v>
      </c>
      <c r="AU85" s="8">
        <v>0</v>
      </c>
      <c r="AV85" s="8">
        <v>0</v>
      </c>
      <c r="AW85" s="8">
        <v>0</v>
      </c>
      <c r="AX85" s="8">
        <v>0</v>
      </c>
      <c r="AY85" s="8">
        <v>0</v>
      </c>
      <c r="AZ85" s="8">
        <v>0</v>
      </c>
      <c r="BA85" s="8">
        <v>0</v>
      </c>
      <c r="BB85" s="8">
        <v>1000</v>
      </c>
      <c r="BC85" s="8">
        <v>250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I85" s="8">
        <v>0</v>
      </c>
      <c r="BJ85" s="8">
        <v>0</v>
      </c>
      <c r="BK85" s="8">
        <v>0</v>
      </c>
      <c r="BL85" s="8">
        <v>0</v>
      </c>
      <c r="BM85" s="8">
        <v>0</v>
      </c>
      <c r="BN85" s="8">
        <v>0</v>
      </c>
      <c r="BO85" s="8">
        <v>0</v>
      </c>
      <c r="BP85" s="8">
        <v>0</v>
      </c>
      <c r="BQ85" s="8">
        <v>0</v>
      </c>
      <c r="BR85" s="8">
        <v>0</v>
      </c>
      <c r="BS85" s="8">
        <v>0</v>
      </c>
      <c r="BT85" s="8">
        <v>0</v>
      </c>
      <c r="BU85" s="8">
        <v>0</v>
      </c>
      <c r="BV85" s="8">
        <v>0</v>
      </c>
      <c r="BW85" s="8">
        <v>0</v>
      </c>
      <c r="BX85" s="8">
        <v>0</v>
      </c>
      <c r="BY85" s="8">
        <v>0</v>
      </c>
      <c r="BZ85" s="8">
        <f>SUM(B85:BY85)</f>
        <v>2255</v>
      </c>
    </row>
    <row r="86" spans="1:78">
      <c r="A86" s="9" t="s">
        <v>163</v>
      </c>
      <c r="B86" s="10">
        <f t="shared" ref="B86:BM86" si="32">SUM(B84:B85)</f>
        <v>0</v>
      </c>
      <c r="C86" s="10">
        <f t="shared" si="32"/>
        <v>4740</v>
      </c>
      <c r="D86" s="10">
        <f t="shared" si="32"/>
        <v>15</v>
      </c>
      <c r="E86" s="10">
        <f t="shared" si="32"/>
        <v>0</v>
      </c>
      <c r="F86" s="10">
        <f t="shared" si="32"/>
        <v>0</v>
      </c>
      <c r="G86" s="10">
        <f t="shared" si="32"/>
        <v>0</v>
      </c>
      <c r="H86" s="10">
        <f t="shared" si="32"/>
        <v>0</v>
      </c>
      <c r="I86" s="10">
        <f t="shared" si="32"/>
        <v>0</v>
      </c>
      <c r="J86" s="10">
        <f t="shared" si="32"/>
        <v>0</v>
      </c>
      <c r="K86" s="10">
        <f t="shared" si="32"/>
        <v>0</v>
      </c>
      <c r="L86" s="10">
        <f t="shared" si="32"/>
        <v>0</v>
      </c>
      <c r="M86" s="10">
        <f t="shared" si="32"/>
        <v>0</v>
      </c>
      <c r="N86" s="10">
        <f t="shared" si="32"/>
        <v>0</v>
      </c>
      <c r="O86" s="10">
        <f t="shared" si="32"/>
        <v>0</v>
      </c>
      <c r="P86" s="10">
        <f t="shared" si="32"/>
        <v>0</v>
      </c>
      <c r="Q86" s="10">
        <f t="shared" si="32"/>
        <v>0</v>
      </c>
      <c r="R86" s="10">
        <f t="shared" si="32"/>
        <v>0</v>
      </c>
      <c r="S86" s="10">
        <f t="shared" si="32"/>
        <v>0</v>
      </c>
      <c r="T86" s="10">
        <f t="shared" si="32"/>
        <v>0</v>
      </c>
      <c r="U86" s="10">
        <f t="shared" si="32"/>
        <v>0</v>
      </c>
      <c r="V86" s="10">
        <f t="shared" si="32"/>
        <v>0</v>
      </c>
      <c r="W86" s="10">
        <f t="shared" si="32"/>
        <v>0</v>
      </c>
      <c r="X86" s="10">
        <f t="shared" si="32"/>
        <v>0</v>
      </c>
      <c r="Y86" s="10">
        <f t="shared" si="32"/>
        <v>0</v>
      </c>
      <c r="Z86" s="10">
        <f t="shared" si="32"/>
        <v>0</v>
      </c>
      <c r="AA86" s="10">
        <f t="shared" si="32"/>
        <v>0</v>
      </c>
      <c r="AB86" s="10">
        <f t="shared" si="32"/>
        <v>0</v>
      </c>
      <c r="AC86" s="10">
        <f t="shared" si="32"/>
        <v>0</v>
      </c>
      <c r="AD86" s="10">
        <f t="shared" si="32"/>
        <v>0</v>
      </c>
      <c r="AE86" s="10">
        <f t="shared" si="32"/>
        <v>0</v>
      </c>
      <c r="AF86" s="10">
        <f t="shared" si="32"/>
        <v>0</v>
      </c>
      <c r="AG86" s="10">
        <f t="shared" si="32"/>
        <v>0</v>
      </c>
      <c r="AH86" s="10">
        <f t="shared" si="32"/>
        <v>0</v>
      </c>
      <c r="AI86" s="10">
        <f t="shared" si="32"/>
        <v>0</v>
      </c>
      <c r="AJ86" s="10">
        <f t="shared" si="32"/>
        <v>0</v>
      </c>
      <c r="AK86" s="10">
        <f t="shared" si="32"/>
        <v>2568.2399999999998</v>
      </c>
      <c r="AL86" s="10">
        <f t="shared" si="32"/>
        <v>0</v>
      </c>
      <c r="AM86" s="10">
        <f t="shared" si="32"/>
        <v>0</v>
      </c>
      <c r="AN86" s="10">
        <f t="shared" si="32"/>
        <v>0</v>
      </c>
      <c r="AO86" s="10">
        <f t="shared" si="32"/>
        <v>-500</v>
      </c>
      <c r="AP86" s="10">
        <f t="shared" si="32"/>
        <v>0</v>
      </c>
      <c r="AQ86" s="10">
        <f t="shared" si="32"/>
        <v>0</v>
      </c>
      <c r="AR86" s="10">
        <f t="shared" si="32"/>
        <v>0</v>
      </c>
      <c r="AS86" s="10">
        <f t="shared" si="32"/>
        <v>0</v>
      </c>
      <c r="AT86" s="10">
        <f t="shared" si="32"/>
        <v>0</v>
      </c>
      <c r="AU86" s="10">
        <f t="shared" si="32"/>
        <v>0</v>
      </c>
      <c r="AV86" s="10">
        <f t="shared" si="32"/>
        <v>0</v>
      </c>
      <c r="AW86" s="10">
        <f t="shared" si="32"/>
        <v>0</v>
      </c>
      <c r="AX86" s="10">
        <f t="shared" si="32"/>
        <v>0</v>
      </c>
      <c r="AY86" s="10">
        <f t="shared" si="32"/>
        <v>0</v>
      </c>
      <c r="AZ86" s="10">
        <f t="shared" si="32"/>
        <v>0</v>
      </c>
      <c r="BA86" s="10">
        <f t="shared" si="32"/>
        <v>0</v>
      </c>
      <c r="BB86" s="10">
        <f t="shared" si="32"/>
        <v>1000</v>
      </c>
      <c r="BC86" s="10">
        <f t="shared" si="32"/>
        <v>250</v>
      </c>
      <c r="BD86" s="10">
        <f t="shared" si="32"/>
        <v>0</v>
      </c>
      <c r="BE86" s="10">
        <f t="shared" si="32"/>
        <v>500</v>
      </c>
      <c r="BF86" s="10">
        <f t="shared" si="32"/>
        <v>0</v>
      </c>
      <c r="BG86" s="10">
        <f t="shared" si="32"/>
        <v>0</v>
      </c>
      <c r="BH86" s="10">
        <f t="shared" si="32"/>
        <v>0</v>
      </c>
      <c r="BI86" s="10">
        <f t="shared" si="32"/>
        <v>0</v>
      </c>
      <c r="BJ86" s="10">
        <f t="shared" si="32"/>
        <v>0</v>
      </c>
      <c r="BK86" s="10">
        <f t="shared" si="32"/>
        <v>0</v>
      </c>
      <c r="BL86" s="10">
        <f t="shared" si="32"/>
        <v>0</v>
      </c>
      <c r="BM86" s="10">
        <f t="shared" si="32"/>
        <v>0</v>
      </c>
      <c r="BN86" s="10">
        <f t="shared" ref="BN86:BZ86" si="33">SUM(BN84:BN85)</f>
        <v>0</v>
      </c>
      <c r="BO86" s="10">
        <f t="shared" si="33"/>
        <v>0</v>
      </c>
      <c r="BP86" s="10">
        <f t="shared" si="33"/>
        <v>0</v>
      </c>
      <c r="BQ86" s="10">
        <f t="shared" si="33"/>
        <v>0</v>
      </c>
      <c r="BR86" s="10">
        <f t="shared" si="33"/>
        <v>0</v>
      </c>
      <c r="BS86" s="10">
        <f t="shared" si="33"/>
        <v>0</v>
      </c>
      <c r="BT86" s="10">
        <f t="shared" si="33"/>
        <v>0</v>
      </c>
      <c r="BU86" s="10">
        <f t="shared" si="33"/>
        <v>0</v>
      </c>
      <c r="BV86" s="10">
        <f t="shared" si="33"/>
        <v>0</v>
      </c>
      <c r="BW86" s="10">
        <f t="shared" si="33"/>
        <v>0</v>
      </c>
      <c r="BX86" s="10">
        <f t="shared" si="33"/>
        <v>0</v>
      </c>
      <c r="BY86" s="10">
        <f t="shared" si="33"/>
        <v>0</v>
      </c>
      <c r="BZ86" s="10">
        <f t="shared" si="33"/>
        <v>8573.24</v>
      </c>
    </row>
    <row r="87" spans="1:78">
      <c r="A87" s="11" t="s">
        <v>164</v>
      </c>
      <c r="B87" s="8">
        <v>0</v>
      </c>
      <c r="C87" s="8">
        <v>9664.7099999999991</v>
      </c>
      <c r="D87" s="8">
        <v>752.41</v>
      </c>
      <c r="E87" s="8">
        <v>76.16</v>
      </c>
      <c r="F87" s="8">
        <v>152.15</v>
      </c>
      <c r="G87" s="8">
        <v>13.1</v>
      </c>
      <c r="H87" s="8">
        <v>352.44</v>
      </c>
      <c r="I87" s="8">
        <v>324.08999999999997</v>
      </c>
      <c r="J87" s="8">
        <v>922.72</v>
      </c>
      <c r="K87" s="8">
        <v>102.17</v>
      </c>
      <c r="L87" s="8">
        <v>38.14</v>
      </c>
      <c r="M87" s="8">
        <v>98.86</v>
      </c>
      <c r="N87" s="8">
        <v>266.45999999999998</v>
      </c>
      <c r="O87" s="8">
        <v>36.71</v>
      </c>
      <c r="P87" s="8">
        <v>0</v>
      </c>
      <c r="Q87" s="8">
        <v>0</v>
      </c>
      <c r="R87" s="8">
        <v>0</v>
      </c>
      <c r="S87" s="8">
        <v>2.23</v>
      </c>
      <c r="T87" s="8">
        <v>0</v>
      </c>
      <c r="U87" s="8">
        <v>90.77</v>
      </c>
      <c r="V87" s="8">
        <v>0</v>
      </c>
      <c r="W87" s="8">
        <v>0</v>
      </c>
      <c r="X87" s="8">
        <v>165.56</v>
      </c>
      <c r="Y87" s="8">
        <v>0</v>
      </c>
      <c r="Z87" s="8">
        <v>65.680000000000007</v>
      </c>
      <c r="AA87" s="8">
        <v>39.950000000000003</v>
      </c>
      <c r="AB87" s="8">
        <v>3012.87</v>
      </c>
      <c r="AC87" s="8">
        <v>0</v>
      </c>
      <c r="AD87" s="8">
        <v>0</v>
      </c>
      <c r="AE87" s="8">
        <v>0</v>
      </c>
      <c r="AF87" s="8">
        <v>2344.73</v>
      </c>
      <c r="AG87" s="8">
        <v>201.89</v>
      </c>
      <c r="AH87" s="8">
        <v>0</v>
      </c>
      <c r="AI87" s="8">
        <v>0</v>
      </c>
      <c r="AJ87" s="8">
        <v>43.87</v>
      </c>
      <c r="AK87" s="8">
        <v>24.49</v>
      </c>
      <c r="AL87" s="8">
        <v>227.4</v>
      </c>
      <c r="AM87" s="8">
        <v>0</v>
      </c>
      <c r="AN87" s="8">
        <v>57.76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53.68</v>
      </c>
      <c r="AU87" s="8">
        <v>0</v>
      </c>
      <c r="AV87" s="8">
        <v>6.94</v>
      </c>
      <c r="AW87" s="8">
        <v>39.450000000000003</v>
      </c>
      <c r="AX87" s="8">
        <v>0</v>
      </c>
      <c r="AY87" s="8">
        <v>0</v>
      </c>
      <c r="AZ87" s="8">
        <v>0</v>
      </c>
      <c r="BA87" s="8">
        <v>1353.18</v>
      </c>
      <c r="BB87" s="8">
        <v>19.010000000000002</v>
      </c>
      <c r="BC87" s="8">
        <v>18.010000000000002</v>
      </c>
      <c r="BD87" s="8">
        <v>13.9</v>
      </c>
      <c r="BE87" s="8">
        <v>148.65</v>
      </c>
      <c r="BF87" s="8">
        <v>51.25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8">
        <v>0</v>
      </c>
      <c r="BM87" s="8">
        <v>0</v>
      </c>
      <c r="BN87" s="8">
        <v>0</v>
      </c>
      <c r="BO87" s="8">
        <v>0</v>
      </c>
      <c r="BP87" s="8">
        <v>0</v>
      </c>
      <c r="BQ87" s="8">
        <v>0</v>
      </c>
      <c r="BR87" s="8">
        <v>0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0</v>
      </c>
      <c r="BY87" s="8">
        <v>0</v>
      </c>
      <c r="BZ87" s="8">
        <f>SUM(B87:BY87)</f>
        <v>20781.389999999996</v>
      </c>
    </row>
    <row r="88" spans="1:78">
      <c r="A88" s="6" t="s">
        <v>165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</row>
    <row r="89" spans="1:78">
      <c r="A89" s="7" t="s">
        <v>166</v>
      </c>
      <c r="B89" s="8">
        <v>0</v>
      </c>
      <c r="C89" s="8">
        <v>-12286.81</v>
      </c>
      <c r="D89" s="8">
        <v>8497.4599999999991</v>
      </c>
      <c r="E89" s="8">
        <v>2.96</v>
      </c>
      <c r="F89" s="8">
        <v>1469.13</v>
      </c>
      <c r="G89" s="8">
        <v>435.56</v>
      </c>
      <c r="H89" s="8">
        <v>4522.6099999999997</v>
      </c>
      <c r="I89" s="8">
        <v>2540.13</v>
      </c>
      <c r="J89" s="8">
        <v>5190.68</v>
      </c>
      <c r="K89" s="8">
        <v>1278.3800000000001</v>
      </c>
      <c r="L89" s="8">
        <v>44.91</v>
      </c>
      <c r="M89" s="8">
        <v>1228.56</v>
      </c>
      <c r="N89" s="8">
        <v>2463.41</v>
      </c>
      <c r="O89" s="8">
        <v>15.19</v>
      </c>
      <c r="P89" s="8">
        <v>0</v>
      </c>
      <c r="Q89" s="8">
        <v>0</v>
      </c>
      <c r="R89" s="8">
        <v>0</v>
      </c>
      <c r="S89" s="8">
        <v>0.99</v>
      </c>
      <c r="T89" s="8">
        <v>0</v>
      </c>
      <c r="U89" s="8">
        <v>33.14</v>
      </c>
      <c r="V89" s="8">
        <v>0</v>
      </c>
      <c r="W89" s="8">
        <v>0</v>
      </c>
      <c r="X89" s="8">
        <v>819.55</v>
      </c>
      <c r="Y89" s="8">
        <v>0</v>
      </c>
      <c r="Z89" s="8">
        <v>155.78</v>
      </c>
      <c r="AA89" s="8">
        <v>53.65</v>
      </c>
      <c r="AB89" s="8">
        <v>2965.12</v>
      </c>
      <c r="AC89" s="8">
        <v>0</v>
      </c>
      <c r="AD89" s="8">
        <v>0</v>
      </c>
      <c r="AE89" s="8">
        <v>0</v>
      </c>
      <c r="AF89" s="8">
        <v>4963.57</v>
      </c>
      <c r="AG89" s="8">
        <v>3625.19</v>
      </c>
      <c r="AH89" s="8">
        <v>0</v>
      </c>
      <c r="AI89" s="8">
        <v>11</v>
      </c>
      <c r="AJ89" s="8">
        <v>46.71</v>
      </c>
      <c r="AK89" s="8">
        <v>3014.17</v>
      </c>
      <c r="AL89" s="8">
        <v>9680.84</v>
      </c>
      <c r="AM89" s="8">
        <v>0</v>
      </c>
      <c r="AN89" s="8">
        <v>24.06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4.76</v>
      </c>
      <c r="AU89" s="8">
        <v>0</v>
      </c>
      <c r="AV89" s="8">
        <v>0</v>
      </c>
      <c r="AW89" s="8">
        <v>0</v>
      </c>
      <c r="AX89" s="8">
        <v>0</v>
      </c>
      <c r="AY89" s="8">
        <v>0</v>
      </c>
      <c r="AZ89" s="8">
        <v>1200</v>
      </c>
      <c r="BA89" s="8">
        <v>0</v>
      </c>
      <c r="BB89" s="8">
        <v>8.09</v>
      </c>
      <c r="BC89" s="8">
        <v>5.52</v>
      </c>
      <c r="BD89" s="8">
        <v>8.09</v>
      </c>
      <c r="BE89" s="8">
        <v>24.85</v>
      </c>
      <c r="BF89" s="8">
        <v>21.5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f>SUM(B89:BY89)</f>
        <v>42068.749999999978</v>
      </c>
    </row>
    <row r="90" spans="1:78">
      <c r="A90" s="7" t="s">
        <v>167</v>
      </c>
      <c r="B90" s="8">
        <v>0</v>
      </c>
      <c r="C90" s="8">
        <v>17207.04</v>
      </c>
      <c r="D90" s="8">
        <v>8821.9</v>
      </c>
      <c r="E90" s="8">
        <v>616.67999999999995</v>
      </c>
      <c r="F90" s="8">
        <v>1555.17</v>
      </c>
      <c r="G90" s="8">
        <v>0</v>
      </c>
      <c r="H90" s="8">
        <v>3806.66</v>
      </c>
      <c r="I90" s="8">
        <v>3826.14</v>
      </c>
      <c r="J90" s="8">
        <v>5356.68</v>
      </c>
      <c r="K90" s="8">
        <v>1785.96</v>
      </c>
      <c r="L90" s="8">
        <v>693.72</v>
      </c>
      <c r="M90" s="8">
        <v>1323.06</v>
      </c>
      <c r="N90" s="8">
        <v>2608.08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500</v>
      </c>
      <c r="Y90" s="8">
        <v>0</v>
      </c>
      <c r="Z90" s="8">
        <v>214.59</v>
      </c>
      <c r="AA90" s="8">
        <v>0</v>
      </c>
      <c r="AB90" s="8">
        <v>1050</v>
      </c>
      <c r="AC90" s="8">
        <v>0</v>
      </c>
      <c r="AD90" s="8">
        <v>0</v>
      </c>
      <c r="AE90" s="8">
        <v>0</v>
      </c>
      <c r="AF90" s="8">
        <v>4186.1400000000003</v>
      </c>
      <c r="AG90" s="8">
        <v>4592.67</v>
      </c>
      <c r="AH90" s="8">
        <v>0</v>
      </c>
      <c r="AI90" s="8">
        <v>308.33999999999997</v>
      </c>
      <c r="AJ90" s="8">
        <v>0</v>
      </c>
      <c r="AK90" s="8">
        <v>4311.43</v>
      </c>
      <c r="AL90" s="8">
        <v>13905.71</v>
      </c>
      <c r="AM90" s="8">
        <v>0</v>
      </c>
      <c r="AN90" s="8">
        <v>0</v>
      </c>
      <c r="AO90" s="8">
        <v>0</v>
      </c>
      <c r="AP90" s="8">
        <v>0</v>
      </c>
      <c r="AQ90" s="8">
        <v>0</v>
      </c>
      <c r="AR90" s="8">
        <v>0</v>
      </c>
      <c r="AS90" s="8">
        <v>0</v>
      </c>
      <c r="AT90" s="8">
        <v>0</v>
      </c>
      <c r="AU90" s="8">
        <v>0</v>
      </c>
      <c r="AV90" s="8">
        <v>0</v>
      </c>
      <c r="AW90" s="8">
        <v>0</v>
      </c>
      <c r="AX90" s="8">
        <v>0</v>
      </c>
      <c r="AY90" s="8">
        <v>0</v>
      </c>
      <c r="AZ90" s="8">
        <v>0</v>
      </c>
      <c r="BA90" s="8">
        <v>0</v>
      </c>
      <c r="BB90" s="8">
        <v>0</v>
      </c>
      <c r="BC90" s="8">
        <v>0</v>
      </c>
      <c r="BD90" s="8">
        <v>0</v>
      </c>
      <c r="BE90" s="8">
        <v>310</v>
      </c>
      <c r="BF90" s="8">
        <v>0</v>
      </c>
      <c r="BG90" s="8">
        <v>0</v>
      </c>
      <c r="BH90" s="8">
        <v>0</v>
      </c>
      <c r="BI90" s="8">
        <v>0</v>
      </c>
      <c r="BJ90" s="8">
        <v>0</v>
      </c>
      <c r="BK90" s="8">
        <v>0</v>
      </c>
      <c r="BL90" s="8">
        <v>0</v>
      </c>
      <c r="BM90" s="8">
        <v>0</v>
      </c>
      <c r="BN90" s="8">
        <v>0</v>
      </c>
      <c r="BO90" s="8">
        <v>0</v>
      </c>
      <c r="BP90" s="8">
        <v>0</v>
      </c>
      <c r="BQ90" s="8">
        <v>0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0</v>
      </c>
      <c r="BX90" s="8">
        <v>0</v>
      </c>
      <c r="BY90" s="8">
        <v>0</v>
      </c>
      <c r="BZ90" s="8">
        <f>SUM(B90:BY90)</f>
        <v>76979.97</v>
      </c>
    </row>
    <row r="91" spans="1:78">
      <c r="A91" s="9" t="s">
        <v>168</v>
      </c>
      <c r="B91" s="10">
        <f t="shared" ref="B91:BM91" si="34">SUM(B89:B90)</f>
        <v>0</v>
      </c>
      <c r="C91" s="10">
        <f t="shared" si="34"/>
        <v>4920.2300000000014</v>
      </c>
      <c r="D91" s="10">
        <f t="shared" si="34"/>
        <v>17319.36</v>
      </c>
      <c r="E91" s="10">
        <f t="shared" si="34"/>
        <v>619.64</v>
      </c>
      <c r="F91" s="10">
        <f t="shared" si="34"/>
        <v>3024.3</v>
      </c>
      <c r="G91" s="10">
        <f t="shared" si="34"/>
        <v>435.56</v>
      </c>
      <c r="H91" s="10">
        <f t="shared" si="34"/>
        <v>8329.27</v>
      </c>
      <c r="I91" s="10">
        <f t="shared" si="34"/>
        <v>6366.27</v>
      </c>
      <c r="J91" s="10">
        <f t="shared" si="34"/>
        <v>10547.36</v>
      </c>
      <c r="K91" s="10">
        <f t="shared" si="34"/>
        <v>3064.34</v>
      </c>
      <c r="L91" s="10">
        <f t="shared" si="34"/>
        <v>738.63</v>
      </c>
      <c r="M91" s="10">
        <f t="shared" si="34"/>
        <v>2551.62</v>
      </c>
      <c r="N91" s="10">
        <f t="shared" si="34"/>
        <v>5071.49</v>
      </c>
      <c r="O91" s="10">
        <f t="shared" si="34"/>
        <v>15.19</v>
      </c>
      <c r="P91" s="10">
        <f t="shared" si="34"/>
        <v>0</v>
      </c>
      <c r="Q91" s="10">
        <f t="shared" si="34"/>
        <v>0</v>
      </c>
      <c r="R91" s="10">
        <f t="shared" si="34"/>
        <v>0</v>
      </c>
      <c r="S91" s="10">
        <f t="shared" si="34"/>
        <v>0.99</v>
      </c>
      <c r="T91" s="10">
        <f t="shared" si="34"/>
        <v>0</v>
      </c>
      <c r="U91" s="10">
        <f t="shared" si="34"/>
        <v>33.14</v>
      </c>
      <c r="V91" s="10">
        <f t="shared" si="34"/>
        <v>0</v>
      </c>
      <c r="W91" s="10">
        <f t="shared" si="34"/>
        <v>0</v>
      </c>
      <c r="X91" s="10">
        <f t="shared" si="34"/>
        <v>1319.55</v>
      </c>
      <c r="Y91" s="10">
        <f t="shared" si="34"/>
        <v>0</v>
      </c>
      <c r="Z91" s="10">
        <f t="shared" si="34"/>
        <v>370.37</v>
      </c>
      <c r="AA91" s="10">
        <f t="shared" si="34"/>
        <v>53.65</v>
      </c>
      <c r="AB91" s="10">
        <f t="shared" si="34"/>
        <v>4015.12</v>
      </c>
      <c r="AC91" s="10">
        <f t="shared" si="34"/>
        <v>0</v>
      </c>
      <c r="AD91" s="10">
        <f t="shared" si="34"/>
        <v>0</v>
      </c>
      <c r="AE91" s="10">
        <f t="shared" si="34"/>
        <v>0</v>
      </c>
      <c r="AF91" s="10">
        <f t="shared" si="34"/>
        <v>9149.7099999999991</v>
      </c>
      <c r="AG91" s="10">
        <f t="shared" si="34"/>
        <v>8217.86</v>
      </c>
      <c r="AH91" s="10">
        <f t="shared" si="34"/>
        <v>0</v>
      </c>
      <c r="AI91" s="10">
        <f t="shared" si="34"/>
        <v>319.33999999999997</v>
      </c>
      <c r="AJ91" s="10">
        <f t="shared" si="34"/>
        <v>46.71</v>
      </c>
      <c r="AK91" s="10">
        <f t="shared" si="34"/>
        <v>7325.6</v>
      </c>
      <c r="AL91" s="10">
        <f t="shared" si="34"/>
        <v>23586.55</v>
      </c>
      <c r="AM91" s="10">
        <f t="shared" si="34"/>
        <v>0</v>
      </c>
      <c r="AN91" s="10">
        <f t="shared" si="34"/>
        <v>24.06</v>
      </c>
      <c r="AO91" s="10">
        <f t="shared" si="34"/>
        <v>0</v>
      </c>
      <c r="AP91" s="10">
        <f t="shared" si="34"/>
        <v>0</v>
      </c>
      <c r="AQ91" s="10">
        <f t="shared" si="34"/>
        <v>0</v>
      </c>
      <c r="AR91" s="10">
        <f t="shared" si="34"/>
        <v>0</v>
      </c>
      <c r="AS91" s="10">
        <f t="shared" si="34"/>
        <v>0</v>
      </c>
      <c r="AT91" s="10">
        <f t="shared" si="34"/>
        <v>4.76</v>
      </c>
      <c r="AU91" s="10">
        <f t="shared" si="34"/>
        <v>0</v>
      </c>
      <c r="AV91" s="10">
        <f t="shared" si="34"/>
        <v>0</v>
      </c>
      <c r="AW91" s="10">
        <f t="shared" si="34"/>
        <v>0</v>
      </c>
      <c r="AX91" s="10">
        <f t="shared" si="34"/>
        <v>0</v>
      </c>
      <c r="AY91" s="10">
        <f t="shared" si="34"/>
        <v>0</v>
      </c>
      <c r="AZ91" s="10">
        <f t="shared" si="34"/>
        <v>1200</v>
      </c>
      <c r="BA91" s="10">
        <f t="shared" si="34"/>
        <v>0</v>
      </c>
      <c r="BB91" s="10">
        <f t="shared" si="34"/>
        <v>8.09</v>
      </c>
      <c r="BC91" s="10">
        <f t="shared" si="34"/>
        <v>5.52</v>
      </c>
      <c r="BD91" s="10">
        <f t="shared" si="34"/>
        <v>8.09</v>
      </c>
      <c r="BE91" s="10">
        <f t="shared" si="34"/>
        <v>334.85</v>
      </c>
      <c r="BF91" s="10">
        <f t="shared" si="34"/>
        <v>21.5</v>
      </c>
      <c r="BG91" s="10">
        <f t="shared" si="34"/>
        <v>0</v>
      </c>
      <c r="BH91" s="10">
        <f t="shared" si="34"/>
        <v>0</v>
      </c>
      <c r="BI91" s="10">
        <f t="shared" si="34"/>
        <v>0</v>
      </c>
      <c r="BJ91" s="10">
        <f t="shared" si="34"/>
        <v>0</v>
      </c>
      <c r="BK91" s="10">
        <f t="shared" si="34"/>
        <v>0</v>
      </c>
      <c r="BL91" s="10">
        <f t="shared" si="34"/>
        <v>0</v>
      </c>
      <c r="BM91" s="10">
        <f t="shared" si="34"/>
        <v>0</v>
      </c>
      <c r="BN91" s="10">
        <f t="shared" ref="BN91:BZ91" si="35">SUM(BN89:BN90)</f>
        <v>0</v>
      </c>
      <c r="BO91" s="10">
        <f t="shared" si="35"/>
        <v>0</v>
      </c>
      <c r="BP91" s="10">
        <f t="shared" si="35"/>
        <v>0</v>
      </c>
      <c r="BQ91" s="10">
        <f t="shared" si="35"/>
        <v>0</v>
      </c>
      <c r="BR91" s="10">
        <f t="shared" si="35"/>
        <v>0</v>
      </c>
      <c r="BS91" s="10">
        <f t="shared" si="35"/>
        <v>0</v>
      </c>
      <c r="BT91" s="10">
        <f t="shared" si="35"/>
        <v>0</v>
      </c>
      <c r="BU91" s="10">
        <f t="shared" si="35"/>
        <v>0</v>
      </c>
      <c r="BV91" s="10">
        <f t="shared" si="35"/>
        <v>0</v>
      </c>
      <c r="BW91" s="10">
        <f t="shared" si="35"/>
        <v>0</v>
      </c>
      <c r="BX91" s="10">
        <f t="shared" si="35"/>
        <v>0</v>
      </c>
      <c r="BY91" s="10">
        <f t="shared" si="35"/>
        <v>0</v>
      </c>
      <c r="BZ91" s="10">
        <f t="shared" si="35"/>
        <v>119048.71999999997</v>
      </c>
    </row>
    <row r="92" spans="1:78">
      <c r="A92" s="6" t="s">
        <v>169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</row>
    <row r="93" spans="1:78">
      <c r="A93" s="7" t="s">
        <v>170</v>
      </c>
      <c r="B93" s="8">
        <v>0</v>
      </c>
      <c r="C93" s="8">
        <v>7235.38</v>
      </c>
      <c r="D93" s="8">
        <v>3532.78</v>
      </c>
      <c r="E93" s="8">
        <v>0</v>
      </c>
      <c r="F93" s="8">
        <v>0</v>
      </c>
      <c r="G93" s="8">
        <v>0</v>
      </c>
      <c r="H93" s="8">
        <v>209.96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1029.24</v>
      </c>
      <c r="Y93" s="8">
        <v>0</v>
      </c>
      <c r="Z93" s="8">
        <v>0</v>
      </c>
      <c r="AA93" s="8">
        <v>0</v>
      </c>
      <c r="AB93" s="8">
        <v>21704.68</v>
      </c>
      <c r="AC93" s="8">
        <v>0</v>
      </c>
      <c r="AD93" s="8">
        <v>0</v>
      </c>
      <c r="AE93" s="8">
        <v>0</v>
      </c>
      <c r="AF93" s="8">
        <v>0</v>
      </c>
      <c r="AG93" s="8">
        <v>22.38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8">
        <v>0</v>
      </c>
      <c r="AN93" s="8">
        <v>0</v>
      </c>
      <c r="AO93" s="8">
        <v>0</v>
      </c>
      <c r="AP93" s="8">
        <v>0</v>
      </c>
      <c r="AQ93" s="8">
        <v>0</v>
      </c>
      <c r="AR93" s="8">
        <v>0</v>
      </c>
      <c r="AS93" s="8">
        <v>0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2760</v>
      </c>
      <c r="AZ93" s="8">
        <v>0</v>
      </c>
      <c r="BA93" s="8">
        <v>0</v>
      </c>
      <c r="BB93" s="8">
        <v>0</v>
      </c>
      <c r="BC93" s="8">
        <v>0</v>
      </c>
      <c r="BD93" s="8">
        <v>0</v>
      </c>
      <c r="BE93" s="8">
        <v>0</v>
      </c>
      <c r="BF93" s="8">
        <v>0</v>
      </c>
      <c r="BG93" s="8">
        <v>0</v>
      </c>
      <c r="BH93" s="8">
        <v>0</v>
      </c>
      <c r="BI93" s="8">
        <v>0</v>
      </c>
      <c r="BJ93" s="8">
        <v>0</v>
      </c>
      <c r="BK93" s="8">
        <v>0</v>
      </c>
      <c r="BL93" s="8">
        <v>0</v>
      </c>
      <c r="BM93" s="8">
        <v>0</v>
      </c>
      <c r="BN93" s="8">
        <v>0</v>
      </c>
      <c r="BO93" s="8">
        <v>0</v>
      </c>
      <c r="BP93" s="8">
        <v>0</v>
      </c>
      <c r="BQ93" s="8">
        <v>0</v>
      </c>
      <c r="BR93" s="8">
        <v>0</v>
      </c>
      <c r="BS93" s="8">
        <v>0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8">
        <f>SUM(B93:BY93)</f>
        <v>36494.42</v>
      </c>
    </row>
    <row r="94" spans="1:78">
      <c r="A94" s="7" t="s">
        <v>171</v>
      </c>
      <c r="B94" s="8">
        <v>0</v>
      </c>
      <c r="C94" s="8">
        <v>1763.61</v>
      </c>
      <c r="D94" s="8">
        <v>1048.92</v>
      </c>
      <c r="E94" s="8">
        <v>154.91</v>
      </c>
      <c r="F94" s="8">
        <v>188.25</v>
      </c>
      <c r="G94" s="8">
        <v>0</v>
      </c>
      <c r="H94" s="8">
        <v>202.91</v>
      </c>
      <c r="I94" s="8">
        <v>404.57</v>
      </c>
      <c r="J94" s="8">
        <v>999.59</v>
      </c>
      <c r="K94" s="8">
        <v>210.02</v>
      </c>
      <c r="L94" s="8">
        <v>50.29</v>
      </c>
      <c r="M94" s="8">
        <v>196.97</v>
      </c>
      <c r="N94" s="8">
        <v>517.16999999999996</v>
      </c>
      <c r="O94" s="8">
        <v>73.150000000000006</v>
      </c>
      <c r="P94" s="8">
        <v>4.1100000000000003</v>
      </c>
      <c r="Q94" s="8">
        <v>6.04</v>
      </c>
      <c r="R94" s="8">
        <v>6.04</v>
      </c>
      <c r="S94" s="8">
        <v>4.46</v>
      </c>
      <c r="T94" s="8">
        <v>0</v>
      </c>
      <c r="U94" s="8">
        <v>177.83</v>
      </c>
      <c r="V94" s="8">
        <v>0</v>
      </c>
      <c r="W94" s="8">
        <v>0</v>
      </c>
      <c r="X94" s="8">
        <v>373.82</v>
      </c>
      <c r="Y94" s="8">
        <v>0</v>
      </c>
      <c r="Z94" s="8">
        <v>106.78</v>
      </c>
      <c r="AA94" s="8">
        <v>79.06</v>
      </c>
      <c r="AB94" s="8">
        <v>636.1</v>
      </c>
      <c r="AC94" s="8">
        <v>0</v>
      </c>
      <c r="AD94" s="8">
        <v>0</v>
      </c>
      <c r="AE94" s="8">
        <v>0</v>
      </c>
      <c r="AF94" s="8">
        <v>611.24</v>
      </c>
      <c r="AG94" s="8">
        <v>271.13</v>
      </c>
      <c r="AH94" s="8">
        <v>0</v>
      </c>
      <c r="AI94" s="8">
        <v>0.41</v>
      </c>
      <c r="AJ94" s="8">
        <v>87.46</v>
      </c>
      <c r="AK94" s="8">
        <v>49.11</v>
      </c>
      <c r="AL94" s="8">
        <v>452.94</v>
      </c>
      <c r="AM94" s="8">
        <v>0</v>
      </c>
      <c r="AN94" s="8">
        <v>115.2</v>
      </c>
      <c r="AO94" s="8">
        <v>0</v>
      </c>
      <c r="AP94" s="8">
        <v>18.47</v>
      </c>
      <c r="AQ94" s="8">
        <v>0</v>
      </c>
      <c r="AR94" s="8">
        <v>0</v>
      </c>
      <c r="AS94" s="8">
        <v>0</v>
      </c>
      <c r="AT94" s="8">
        <v>95.59</v>
      </c>
      <c r="AU94" s="8">
        <v>0</v>
      </c>
      <c r="AV94" s="8">
        <v>40.130000000000003</v>
      </c>
      <c r="AW94" s="8">
        <v>38.74</v>
      </c>
      <c r="AX94" s="8">
        <v>0</v>
      </c>
      <c r="AY94" s="8">
        <v>0</v>
      </c>
      <c r="AZ94" s="8">
        <v>0</v>
      </c>
      <c r="BA94" s="8">
        <v>367.59</v>
      </c>
      <c r="BB94" s="8">
        <v>32.1</v>
      </c>
      <c r="BC94" s="8">
        <v>28.5</v>
      </c>
      <c r="BD94" s="8">
        <v>25.38</v>
      </c>
      <c r="BE94" s="8">
        <v>97.94</v>
      </c>
      <c r="BF94" s="8">
        <v>102.28</v>
      </c>
      <c r="BG94" s="8">
        <v>0</v>
      </c>
      <c r="BH94" s="8">
        <v>0</v>
      </c>
      <c r="BI94" s="8">
        <v>0</v>
      </c>
      <c r="BJ94" s="8">
        <v>0</v>
      </c>
      <c r="BK94" s="8">
        <v>0</v>
      </c>
      <c r="BL94" s="8">
        <v>0</v>
      </c>
      <c r="BM94" s="8">
        <v>0</v>
      </c>
      <c r="BN94" s="8">
        <v>0</v>
      </c>
      <c r="BO94" s="8">
        <v>0</v>
      </c>
      <c r="BP94" s="8">
        <v>0</v>
      </c>
      <c r="BQ94" s="8">
        <v>0</v>
      </c>
      <c r="BR94" s="8">
        <v>0</v>
      </c>
      <c r="BS94" s="8">
        <v>0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8">
        <v>0</v>
      </c>
      <c r="BZ94" s="8">
        <f>SUM(B94:BY94)</f>
        <v>9638.81</v>
      </c>
    </row>
    <row r="95" spans="1:78">
      <c r="A95" s="9" t="s">
        <v>172</v>
      </c>
      <c r="B95" s="10">
        <f t="shared" ref="B95:BM95" si="36">SUM(B93:B94)</f>
        <v>0</v>
      </c>
      <c r="C95" s="10">
        <f t="shared" si="36"/>
        <v>8998.99</v>
      </c>
      <c r="D95" s="10">
        <f t="shared" si="36"/>
        <v>4581.7000000000007</v>
      </c>
      <c r="E95" s="10">
        <f t="shared" si="36"/>
        <v>154.91</v>
      </c>
      <c r="F95" s="10">
        <f t="shared" si="36"/>
        <v>188.25</v>
      </c>
      <c r="G95" s="10">
        <f t="shared" si="36"/>
        <v>0</v>
      </c>
      <c r="H95" s="10">
        <f t="shared" si="36"/>
        <v>412.87</v>
      </c>
      <c r="I95" s="10">
        <f t="shared" si="36"/>
        <v>404.57</v>
      </c>
      <c r="J95" s="10">
        <f t="shared" si="36"/>
        <v>999.59</v>
      </c>
      <c r="K95" s="10">
        <f t="shared" si="36"/>
        <v>210.02</v>
      </c>
      <c r="L95" s="10">
        <f t="shared" si="36"/>
        <v>50.29</v>
      </c>
      <c r="M95" s="10">
        <f t="shared" si="36"/>
        <v>196.97</v>
      </c>
      <c r="N95" s="10">
        <f t="shared" si="36"/>
        <v>517.16999999999996</v>
      </c>
      <c r="O95" s="10">
        <f t="shared" si="36"/>
        <v>73.150000000000006</v>
      </c>
      <c r="P95" s="10">
        <f t="shared" si="36"/>
        <v>4.1100000000000003</v>
      </c>
      <c r="Q95" s="10">
        <f t="shared" si="36"/>
        <v>6.04</v>
      </c>
      <c r="R95" s="10">
        <f t="shared" si="36"/>
        <v>6.04</v>
      </c>
      <c r="S95" s="10">
        <f t="shared" si="36"/>
        <v>4.46</v>
      </c>
      <c r="T95" s="10">
        <f t="shared" si="36"/>
        <v>0</v>
      </c>
      <c r="U95" s="10">
        <f t="shared" si="36"/>
        <v>177.83</v>
      </c>
      <c r="V95" s="10">
        <f t="shared" si="36"/>
        <v>0</v>
      </c>
      <c r="W95" s="10">
        <f t="shared" si="36"/>
        <v>0</v>
      </c>
      <c r="X95" s="10">
        <f t="shared" si="36"/>
        <v>1403.06</v>
      </c>
      <c r="Y95" s="10">
        <f t="shared" si="36"/>
        <v>0</v>
      </c>
      <c r="Z95" s="10">
        <f t="shared" si="36"/>
        <v>106.78</v>
      </c>
      <c r="AA95" s="10">
        <f t="shared" si="36"/>
        <v>79.06</v>
      </c>
      <c r="AB95" s="10">
        <f t="shared" si="36"/>
        <v>22340.78</v>
      </c>
      <c r="AC95" s="10">
        <f t="shared" si="36"/>
        <v>0</v>
      </c>
      <c r="AD95" s="10">
        <f t="shared" si="36"/>
        <v>0</v>
      </c>
      <c r="AE95" s="10">
        <f t="shared" si="36"/>
        <v>0</v>
      </c>
      <c r="AF95" s="10">
        <f t="shared" si="36"/>
        <v>611.24</v>
      </c>
      <c r="AG95" s="10">
        <f t="shared" si="36"/>
        <v>293.51</v>
      </c>
      <c r="AH95" s="10">
        <f t="shared" si="36"/>
        <v>0</v>
      </c>
      <c r="AI95" s="10">
        <f t="shared" si="36"/>
        <v>0.41</v>
      </c>
      <c r="AJ95" s="10">
        <f t="shared" si="36"/>
        <v>87.46</v>
      </c>
      <c r="AK95" s="10">
        <f t="shared" si="36"/>
        <v>49.11</v>
      </c>
      <c r="AL95" s="10">
        <f t="shared" si="36"/>
        <v>452.94</v>
      </c>
      <c r="AM95" s="10">
        <f t="shared" si="36"/>
        <v>0</v>
      </c>
      <c r="AN95" s="10">
        <f t="shared" si="36"/>
        <v>115.2</v>
      </c>
      <c r="AO95" s="10">
        <f t="shared" si="36"/>
        <v>0</v>
      </c>
      <c r="AP95" s="10">
        <f t="shared" si="36"/>
        <v>18.47</v>
      </c>
      <c r="AQ95" s="10">
        <f t="shared" si="36"/>
        <v>0</v>
      </c>
      <c r="AR95" s="10">
        <f t="shared" si="36"/>
        <v>0</v>
      </c>
      <c r="AS95" s="10">
        <f t="shared" si="36"/>
        <v>0</v>
      </c>
      <c r="AT95" s="10">
        <f t="shared" si="36"/>
        <v>95.59</v>
      </c>
      <c r="AU95" s="10">
        <f t="shared" si="36"/>
        <v>0</v>
      </c>
      <c r="AV95" s="10">
        <f t="shared" si="36"/>
        <v>40.130000000000003</v>
      </c>
      <c r="AW95" s="10">
        <f t="shared" si="36"/>
        <v>38.74</v>
      </c>
      <c r="AX95" s="10">
        <f t="shared" si="36"/>
        <v>0</v>
      </c>
      <c r="AY95" s="10">
        <f t="shared" si="36"/>
        <v>2760</v>
      </c>
      <c r="AZ95" s="10">
        <f t="shared" si="36"/>
        <v>0</v>
      </c>
      <c r="BA95" s="10">
        <f t="shared" si="36"/>
        <v>367.59</v>
      </c>
      <c r="BB95" s="10">
        <f t="shared" si="36"/>
        <v>32.1</v>
      </c>
      <c r="BC95" s="10">
        <f t="shared" si="36"/>
        <v>28.5</v>
      </c>
      <c r="BD95" s="10">
        <f t="shared" si="36"/>
        <v>25.38</v>
      </c>
      <c r="BE95" s="10">
        <f t="shared" si="36"/>
        <v>97.94</v>
      </c>
      <c r="BF95" s="10">
        <f t="shared" si="36"/>
        <v>102.28</v>
      </c>
      <c r="BG95" s="10">
        <f t="shared" si="36"/>
        <v>0</v>
      </c>
      <c r="BH95" s="10">
        <f t="shared" si="36"/>
        <v>0</v>
      </c>
      <c r="BI95" s="10">
        <f t="shared" si="36"/>
        <v>0</v>
      </c>
      <c r="BJ95" s="10">
        <f t="shared" si="36"/>
        <v>0</v>
      </c>
      <c r="BK95" s="10">
        <f t="shared" si="36"/>
        <v>0</v>
      </c>
      <c r="BL95" s="10">
        <f t="shared" si="36"/>
        <v>0</v>
      </c>
      <c r="BM95" s="10">
        <f t="shared" si="36"/>
        <v>0</v>
      </c>
      <c r="BN95" s="10">
        <f t="shared" ref="BN95:BZ95" si="37">SUM(BN93:BN94)</f>
        <v>0</v>
      </c>
      <c r="BO95" s="10">
        <f t="shared" si="37"/>
        <v>0</v>
      </c>
      <c r="BP95" s="10">
        <f t="shared" si="37"/>
        <v>0</v>
      </c>
      <c r="BQ95" s="10">
        <f t="shared" si="37"/>
        <v>0</v>
      </c>
      <c r="BR95" s="10">
        <f t="shared" si="37"/>
        <v>0</v>
      </c>
      <c r="BS95" s="10">
        <f t="shared" si="37"/>
        <v>0</v>
      </c>
      <c r="BT95" s="10">
        <f t="shared" si="37"/>
        <v>0</v>
      </c>
      <c r="BU95" s="10">
        <f t="shared" si="37"/>
        <v>0</v>
      </c>
      <c r="BV95" s="10">
        <f t="shared" si="37"/>
        <v>0</v>
      </c>
      <c r="BW95" s="10">
        <f t="shared" si="37"/>
        <v>0</v>
      </c>
      <c r="BX95" s="10">
        <f t="shared" si="37"/>
        <v>0</v>
      </c>
      <c r="BY95" s="10">
        <f t="shared" si="37"/>
        <v>0</v>
      </c>
      <c r="BZ95" s="10">
        <f t="shared" si="37"/>
        <v>46133.229999999996</v>
      </c>
    </row>
    <row r="96" spans="1:78">
      <c r="A96" s="11" t="s">
        <v>173</v>
      </c>
      <c r="B96" s="8">
        <v>0</v>
      </c>
      <c r="C96" s="8">
        <v>9384.75</v>
      </c>
      <c r="D96" s="8">
        <v>200</v>
      </c>
      <c r="E96" s="8">
        <v>0</v>
      </c>
      <c r="F96" s="8">
        <v>0</v>
      </c>
      <c r="G96" s="8">
        <v>120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100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8">
        <v>0</v>
      </c>
      <c r="BL96" s="8">
        <v>0</v>
      </c>
      <c r="BM96" s="8">
        <v>0</v>
      </c>
      <c r="BN96" s="8">
        <v>0</v>
      </c>
      <c r="BO96" s="8">
        <v>0</v>
      </c>
      <c r="BP96" s="8">
        <v>0</v>
      </c>
      <c r="BQ96" s="8">
        <v>0</v>
      </c>
      <c r="BR96" s="8">
        <v>0</v>
      </c>
      <c r="BS96" s="8">
        <v>0</v>
      </c>
      <c r="BT96" s="8">
        <v>0</v>
      </c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>
        <f>SUM(B96:BY96)</f>
        <v>9804.75</v>
      </c>
    </row>
    <row r="97" spans="1:78">
      <c r="A97" s="6" t="s">
        <v>174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</row>
    <row r="98" spans="1:78">
      <c r="A98" s="7" t="s">
        <v>175</v>
      </c>
      <c r="B98" s="8">
        <v>0</v>
      </c>
      <c r="C98" s="8">
        <v>1966.84</v>
      </c>
      <c r="D98" s="8">
        <v>1128.58</v>
      </c>
      <c r="E98" s="8">
        <v>146.97999999999999</v>
      </c>
      <c r="F98" s="8">
        <v>193.9</v>
      </c>
      <c r="G98" s="8">
        <v>0</v>
      </c>
      <c r="H98" s="8">
        <v>208.6</v>
      </c>
      <c r="I98" s="8">
        <v>416.61</v>
      </c>
      <c r="J98" s="8">
        <v>1016.97</v>
      </c>
      <c r="K98" s="8">
        <v>212.57</v>
      </c>
      <c r="L98" s="8">
        <v>51.62</v>
      </c>
      <c r="M98" s="8">
        <v>203.29</v>
      </c>
      <c r="N98" s="8">
        <v>584.91</v>
      </c>
      <c r="O98" s="8">
        <v>75.510000000000005</v>
      </c>
      <c r="P98" s="8">
        <v>4.18</v>
      </c>
      <c r="Q98" s="8">
        <v>6.15</v>
      </c>
      <c r="R98" s="8">
        <v>6.15</v>
      </c>
      <c r="S98" s="8">
        <v>4.59</v>
      </c>
      <c r="T98" s="8">
        <v>0</v>
      </c>
      <c r="U98" s="8">
        <v>185.52</v>
      </c>
      <c r="V98" s="8">
        <v>0</v>
      </c>
      <c r="W98" s="8">
        <v>0</v>
      </c>
      <c r="X98" s="8">
        <v>388.99</v>
      </c>
      <c r="Y98" s="8">
        <v>0</v>
      </c>
      <c r="Z98" s="8">
        <v>101.55</v>
      </c>
      <c r="AA98" s="8">
        <v>89.06</v>
      </c>
      <c r="AB98" s="8">
        <v>654.54</v>
      </c>
      <c r="AC98" s="8">
        <v>0</v>
      </c>
      <c r="AD98" s="8">
        <v>0</v>
      </c>
      <c r="AE98" s="8">
        <v>0</v>
      </c>
      <c r="AF98" s="8">
        <v>630.91</v>
      </c>
      <c r="AG98" s="8">
        <v>279.94</v>
      </c>
      <c r="AH98" s="8">
        <v>0</v>
      </c>
      <c r="AI98" s="8">
        <v>2.29</v>
      </c>
      <c r="AJ98" s="8">
        <v>90.24</v>
      </c>
      <c r="AK98" s="8">
        <v>50.46</v>
      </c>
      <c r="AL98" s="8">
        <v>467.55</v>
      </c>
      <c r="AM98" s="8">
        <v>0</v>
      </c>
      <c r="AN98" s="8">
        <v>118.82</v>
      </c>
      <c r="AO98" s="8">
        <v>0</v>
      </c>
      <c r="AP98" s="8">
        <v>18.82</v>
      </c>
      <c r="AQ98" s="8">
        <v>15.83</v>
      </c>
      <c r="AR98" s="8">
        <v>0</v>
      </c>
      <c r="AS98" s="8">
        <v>0</v>
      </c>
      <c r="AT98" s="8">
        <v>158.72</v>
      </c>
      <c r="AU98" s="8">
        <v>0</v>
      </c>
      <c r="AV98" s="8">
        <v>35.880000000000003</v>
      </c>
      <c r="AW98" s="8">
        <v>54.3</v>
      </c>
      <c r="AX98" s="8">
        <v>0</v>
      </c>
      <c r="AY98" s="8">
        <v>0</v>
      </c>
      <c r="AZ98" s="8">
        <v>0</v>
      </c>
      <c r="BA98" s="8">
        <v>0</v>
      </c>
      <c r="BB98" s="8">
        <v>33.049999999999997</v>
      </c>
      <c r="BC98" s="8">
        <v>30.37</v>
      </c>
      <c r="BD98" s="8">
        <v>25.12</v>
      </c>
      <c r="BE98" s="8">
        <v>100.94</v>
      </c>
      <c r="BF98" s="8">
        <v>105.44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f>SUM(B98:BY98)</f>
        <v>9865.7899999999991</v>
      </c>
    </row>
    <row r="99" spans="1:78">
      <c r="A99" s="9" t="s">
        <v>176</v>
      </c>
      <c r="B99" s="10">
        <f t="shared" ref="B99:BM99" si="38">SUM(B98)</f>
        <v>0</v>
      </c>
      <c r="C99" s="10">
        <f t="shared" si="38"/>
        <v>1966.84</v>
      </c>
      <c r="D99" s="10">
        <f t="shared" si="38"/>
        <v>1128.58</v>
      </c>
      <c r="E99" s="10">
        <f t="shared" si="38"/>
        <v>146.97999999999999</v>
      </c>
      <c r="F99" s="10">
        <f t="shared" si="38"/>
        <v>193.9</v>
      </c>
      <c r="G99" s="10">
        <f t="shared" si="38"/>
        <v>0</v>
      </c>
      <c r="H99" s="10">
        <f t="shared" si="38"/>
        <v>208.6</v>
      </c>
      <c r="I99" s="10">
        <f t="shared" si="38"/>
        <v>416.61</v>
      </c>
      <c r="J99" s="10">
        <f t="shared" si="38"/>
        <v>1016.97</v>
      </c>
      <c r="K99" s="10">
        <f t="shared" si="38"/>
        <v>212.57</v>
      </c>
      <c r="L99" s="10">
        <f t="shared" si="38"/>
        <v>51.62</v>
      </c>
      <c r="M99" s="10">
        <f t="shared" si="38"/>
        <v>203.29</v>
      </c>
      <c r="N99" s="10">
        <f t="shared" si="38"/>
        <v>584.91</v>
      </c>
      <c r="O99" s="10">
        <f t="shared" si="38"/>
        <v>75.510000000000005</v>
      </c>
      <c r="P99" s="10">
        <f t="shared" si="38"/>
        <v>4.18</v>
      </c>
      <c r="Q99" s="10">
        <f t="shared" si="38"/>
        <v>6.15</v>
      </c>
      <c r="R99" s="10">
        <f t="shared" si="38"/>
        <v>6.15</v>
      </c>
      <c r="S99" s="10">
        <f t="shared" si="38"/>
        <v>4.59</v>
      </c>
      <c r="T99" s="10">
        <f t="shared" si="38"/>
        <v>0</v>
      </c>
      <c r="U99" s="10">
        <f t="shared" si="38"/>
        <v>185.52</v>
      </c>
      <c r="V99" s="10">
        <f t="shared" si="38"/>
        <v>0</v>
      </c>
      <c r="W99" s="10">
        <f t="shared" si="38"/>
        <v>0</v>
      </c>
      <c r="X99" s="10">
        <f t="shared" si="38"/>
        <v>388.99</v>
      </c>
      <c r="Y99" s="10">
        <f t="shared" si="38"/>
        <v>0</v>
      </c>
      <c r="Z99" s="10">
        <f t="shared" si="38"/>
        <v>101.55</v>
      </c>
      <c r="AA99" s="10">
        <f t="shared" si="38"/>
        <v>89.06</v>
      </c>
      <c r="AB99" s="10">
        <f t="shared" si="38"/>
        <v>654.54</v>
      </c>
      <c r="AC99" s="10">
        <f t="shared" si="38"/>
        <v>0</v>
      </c>
      <c r="AD99" s="10">
        <f t="shared" si="38"/>
        <v>0</v>
      </c>
      <c r="AE99" s="10">
        <f t="shared" si="38"/>
        <v>0</v>
      </c>
      <c r="AF99" s="10">
        <f t="shared" si="38"/>
        <v>630.91</v>
      </c>
      <c r="AG99" s="10">
        <f t="shared" si="38"/>
        <v>279.94</v>
      </c>
      <c r="AH99" s="10">
        <f t="shared" si="38"/>
        <v>0</v>
      </c>
      <c r="AI99" s="10">
        <f t="shared" si="38"/>
        <v>2.29</v>
      </c>
      <c r="AJ99" s="10">
        <f t="shared" si="38"/>
        <v>90.24</v>
      </c>
      <c r="AK99" s="10">
        <f t="shared" si="38"/>
        <v>50.46</v>
      </c>
      <c r="AL99" s="10">
        <f t="shared" si="38"/>
        <v>467.55</v>
      </c>
      <c r="AM99" s="10">
        <f t="shared" si="38"/>
        <v>0</v>
      </c>
      <c r="AN99" s="10">
        <f t="shared" si="38"/>
        <v>118.82</v>
      </c>
      <c r="AO99" s="10">
        <f t="shared" si="38"/>
        <v>0</v>
      </c>
      <c r="AP99" s="10">
        <f t="shared" si="38"/>
        <v>18.82</v>
      </c>
      <c r="AQ99" s="10">
        <f t="shared" si="38"/>
        <v>15.83</v>
      </c>
      <c r="AR99" s="10">
        <f t="shared" si="38"/>
        <v>0</v>
      </c>
      <c r="AS99" s="10">
        <f t="shared" si="38"/>
        <v>0</v>
      </c>
      <c r="AT99" s="10">
        <f t="shared" si="38"/>
        <v>158.72</v>
      </c>
      <c r="AU99" s="10">
        <f t="shared" si="38"/>
        <v>0</v>
      </c>
      <c r="AV99" s="10">
        <f t="shared" si="38"/>
        <v>35.880000000000003</v>
      </c>
      <c r="AW99" s="10">
        <f t="shared" si="38"/>
        <v>54.3</v>
      </c>
      <c r="AX99" s="10">
        <f t="shared" si="38"/>
        <v>0</v>
      </c>
      <c r="AY99" s="10">
        <f t="shared" si="38"/>
        <v>0</v>
      </c>
      <c r="AZ99" s="10">
        <f t="shared" si="38"/>
        <v>0</v>
      </c>
      <c r="BA99" s="10">
        <f t="shared" si="38"/>
        <v>0</v>
      </c>
      <c r="BB99" s="10">
        <f t="shared" si="38"/>
        <v>33.049999999999997</v>
      </c>
      <c r="BC99" s="10">
        <f t="shared" si="38"/>
        <v>30.37</v>
      </c>
      <c r="BD99" s="10">
        <f t="shared" si="38"/>
        <v>25.12</v>
      </c>
      <c r="BE99" s="10">
        <f t="shared" si="38"/>
        <v>100.94</v>
      </c>
      <c r="BF99" s="10">
        <f t="shared" si="38"/>
        <v>105.44</v>
      </c>
      <c r="BG99" s="10">
        <f t="shared" si="38"/>
        <v>0</v>
      </c>
      <c r="BH99" s="10">
        <f t="shared" si="38"/>
        <v>0</v>
      </c>
      <c r="BI99" s="10">
        <f t="shared" si="38"/>
        <v>0</v>
      </c>
      <c r="BJ99" s="10">
        <f t="shared" si="38"/>
        <v>0</v>
      </c>
      <c r="BK99" s="10">
        <f t="shared" si="38"/>
        <v>0</v>
      </c>
      <c r="BL99" s="10">
        <f t="shared" si="38"/>
        <v>0</v>
      </c>
      <c r="BM99" s="10">
        <f t="shared" si="38"/>
        <v>0</v>
      </c>
      <c r="BN99" s="10">
        <f t="shared" ref="BN99:BZ99" si="39">SUM(BN98)</f>
        <v>0</v>
      </c>
      <c r="BO99" s="10">
        <f t="shared" si="39"/>
        <v>0</v>
      </c>
      <c r="BP99" s="10">
        <f t="shared" si="39"/>
        <v>0</v>
      </c>
      <c r="BQ99" s="10">
        <f t="shared" si="39"/>
        <v>0</v>
      </c>
      <c r="BR99" s="10">
        <f t="shared" si="39"/>
        <v>0</v>
      </c>
      <c r="BS99" s="10">
        <f t="shared" si="39"/>
        <v>0</v>
      </c>
      <c r="BT99" s="10">
        <f t="shared" si="39"/>
        <v>0</v>
      </c>
      <c r="BU99" s="10">
        <f t="shared" si="39"/>
        <v>0</v>
      </c>
      <c r="BV99" s="10">
        <f t="shared" si="39"/>
        <v>0</v>
      </c>
      <c r="BW99" s="10">
        <f t="shared" si="39"/>
        <v>0</v>
      </c>
      <c r="BX99" s="10">
        <f t="shared" si="39"/>
        <v>0</v>
      </c>
      <c r="BY99" s="10">
        <f t="shared" si="39"/>
        <v>0</v>
      </c>
      <c r="BZ99" s="10">
        <f t="shared" si="39"/>
        <v>9865.7899999999991</v>
      </c>
    </row>
    <row r="100" spans="1:78">
      <c r="A100" s="6" t="s">
        <v>177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</row>
    <row r="101" spans="1:78">
      <c r="A101" s="7" t="s">
        <v>178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1500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1032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827.54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0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f>SUM(B101:BY101)</f>
        <v>3359.54</v>
      </c>
    </row>
    <row r="102" spans="1:78">
      <c r="A102" s="7" t="s">
        <v>179</v>
      </c>
      <c r="B102" s="8">
        <v>0</v>
      </c>
      <c r="C102" s="8">
        <v>888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33.979999999999997</v>
      </c>
      <c r="J102" s="8">
        <v>0</v>
      </c>
      <c r="K102" s="8">
        <v>0</v>
      </c>
      <c r="L102" s="8">
        <v>0</v>
      </c>
      <c r="M102" s="8">
        <v>0</v>
      </c>
      <c r="N102" s="8">
        <v>33.979999999999997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488</v>
      </c>
      <c r="AC102" s="8">
        <v>0</v>
      </c>
      <c r="AD102" s="8">
        <v>0</v>
      </c>
      <c r="AE102" s="8">
        <v>0</v>
      </c>
      <c r="AF102" s="8">
        <v>103.95</v>
      </c>
      <c r="AG102" s="8">
        <v>0</v>
      </c>
      <c r="AH102" s="8">
        <v>0</v>
      </c>
      <c r="AI102" s="8">
        <v>0</v>
      </c>
      <c r="AJ102" s="8">
        <v>0</v>
      </c>
      <c r="AK102" s="8">
        <v>1584.2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777.35</v>
      </c>
      <c r="BC102" s="8">
        <v>885.15</v>
      </c>
      <c r="BD102" s="8">
        <v>0</v>
      </c>
      <c r="BE102" s="8">
        <v>1745.78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  <c r="BN102" s="8">
        <v>0</v>
      </c>
      <c r="BO102" s="8">
        <v>0</v>
      </c>
      <c r="BP102" s="8">
        <v>0</v>
      </c>
      <c r="BQ102" s="8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>
        <f>SUM(B102:BY102)</f>
        <v>6540.3899999999994</v>
      </c>
    </row>
    <row r="103" spans="1:78">
      <c r="A103" s="7" t="s">
        <v>180</v>
      </c>
      <c r="B103" s="8">
        <v>0</v>
      </c>
      <c r="C103" s="8">
        <v>2719.29</v>
      </c>
      <c r="D103" s="8">
        <v>209.32</v>
      </c>
      <c r="E103" s="8">
        <v>31.36</v>
      </c>
      <c r="F103" s="8">
        <v>37.29</v>
      </c>
      <c r="G103" s="8">
        <v>0</v>
      </c>
      <c r="H103" s="8">
        <v>40.229999999999997</v>
      </c>
      <c r="I103" s="8">
        <v>80.2</v>
      </c>
      <c r="J103" s="8">
        <v>198.1</v>
      </c>
      <c r="K103" s="8">
        <v>41.62</v>
      </c>
      <c r="L103" s="8">
        <v>9.9700000000000006</v>
      </c>
      <c r="M103" s="8">
        <v>39.049999999999997</v>
      </c>
      <c r="N103" s="8">
        <v>102.52</v>
      </c>
      <c r="O103" s="8">
        <v>14.52</v>
      </c>
      <c r="P103" s="8">
        <v>1.46</v>
      </c>
      <c r="Q103" s="8">
        <v>2.14</v>
      </c>
      <c r="R103" s="8">
        <v>2.14</v>
      </c>
      <c r="S103" s="8">
        <v>0.89</v>
      </c>
      <c r="T103" s="8">
        <v>0</v>
      </c>
      <c r="U103" s="8">
        <v>35.229999999999997</v>
      </c>
      <c r="V103" s="8">
        <v>0</v>
      </c>
      <c r="W103" s="8">
        <v>0</v>
      </c>
      <c r="X103" s="8">
        <v>74.08</v>
      </c>
      <c r="Y103" s="8">
        <v>0</v>
      </c>
      <c r="Z103" s="8">
        <v>19.71</v>
      </c>
      <c r="AA103" s="8">
        <v>14.42</v>
      </c>
      <c r="AB103" s="8">
        <v>126.06</v>
      </c>
      <c r="AC103" s="8">
        <v>0</v>
      </c>
      <c r="AD103" s="8">
        <v>0</v>
      </c>
      <c r="AE103" s="8">
        <v>0</v>
      </c>
      <c r="AF103" s="8">
        <v>121.16</v>
      </c>
      <c r="AG103" s="8">
        <v>53.75</v>
      </c>
      <c r="AH103" s="8">
        <v>0</v>
      </c>
      <c r="AI103" s="8">
        <v>0.4</v>
      </c>
      <c r="AJ103" s="8">
        <v>17.34</v>
      </c>
      <c r="AK103" s="8">
        <v>9.73</v>
      </c>
      <c r="AL103" s="8">
        <v>89.76</v>
      </c>
      <c r="AM103" s="8">
        <v>0</v>
      </c>
      <c r="AN103" s="8">
        <v>22.84</v>
      </c>
      <c r="AO103" s="8">
        <v>0</v>
      </c>
      <c r="AP103" s="8">
        <v>6.56</v>
      </c>
      <c r="AQ103" s="8">
        <v>0</v>
      </c>
      <c r="AR103" s="8">
        <v>0</v>
      </c>
      <c r="AS103" s="8">
        <v>0</v>
      </c>
      <c r="AT103" s="8">
        <v>20.76</v>
      </c>
      <c r="AU103" s="8">
        <v>0</v>
      </c>
      <c r="AV103" s="8">
        <v>9.39</v>
      </c>
      <c r="AW103" s="8">
        <v>6.26</v>
      </c>
      <c r="AX103" s="8">
        <v>0</v>
      </c>
      <c r="AY103" s="8">
        <v>0</v>
      </c>
      <c r="AZ103" s="8">
        <v>0</v>
      </c>
      <c r="BA103" s="8">
        <v>0</v>
      </c>
      <c r="BB103" s="8">
        <v>5.4</v>
      </c>
      <c r="BC103" s="8">
        <v>4.6900000000000004</v>
      </c>
      <c r="BD103" s="8">
        <v>4.38</v>
      </c>
      <c r="BE103" s="8">
        <v>16.5</v>
      </c>
      <c r="BF103" s="8">
        <v>20.3</v>
      </c>
      <c r="BG103" s="8">
        <v>0</v>
      </c>
      <c r="BH103" s="8">
        <v>0</v>
      </c>
      <c r="BI103" s="8">
        <v>0</v>
      </c>
      <c r="BJ103" s="8">
        <v>0</v>
      </c>
      <c r="BK103" s="8">
        <v>0</v>
      </c>
      <c r="BL103" s="8">
        <v>0</v>
      </c>
      <c r="BM103" s="8">
        <v>0</v>
      </c>
      <c r="BN103" s="8">
        <v>0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0</v>
      </c>
      <c r="BY103" s="8">
        <v>0</v>
      </c>
      <c r="BZ103" s="8">
        <f>SUM(B103:BY103)</f>
        <v>4208.8200000000006</v>
      </c>
    </row>
    <row r="104" spans="1:78">
      <c r="A104" s="9" t="s">
        <v>181</v>
      </c>
      <c r="B104" s="10">
        <f t="shared" ref="B104:BM104" si="40">SUM(B101:B103)</f>
        <v>0</v>
      </c>
      <c r="C104" s="10">
        <f t="shared" si="40"/>
        <v>3607.29</v>
      </c>
      <c r="D104" s="10">
        <f t="shared" si="40"/>
        <v>209.32</v>
      </c>
      <c r="E104" s="10">
        <f t="shared" si="40"/>
        <v>31.36</v>
      </c>
      <c r="F104" s="10">
        <f t="shared" si="40"/>
        <v>37.29</v>
      </c>
      <c r="G104" s="10">
        <f t="shared" si="40"/>
        <v>1500</v>
      </c>
      <c r="H104" s="10">
        <f t="shared" si="40"/>
        <v>40.229999999999997</v>
      </c>
      <c r="I104" s="10">
        <f t="shared" si="40"/>
        <v>114.18</v>
      </c>
      <c r="J104" s="10">
        <f t="shared" si="40"/>
        <v>198.1</v>
      </c>
      <c r="K104" s="10">
        <f t="shared" si="40"/>
        <v>41.62</v>
      </c>
      <c r="L104" s="10">
        <f t="shared" si="40"/>
        <v>9.9700000000000006</v>
      </c>
      <c r="M104" s="10">
        <f t="shared" si="40"/>
        <v>39.049999999999997</v>
      </c>
      <c r="N104" s="10">
        <f t="shared" si="40"/>
        <v>1168.5</v>
      </c>
      <c r="O104" s="10">
        <f t="shared" si="40"/>
        <v>14.52</v>
      </c>
      <c r="P104" s="10">
        <f t="shared" si="40"/>
        <v>1.46</v>
      </c>
      <c r="Q104" s="10">
        <f t="shared" si="40"/>
        <v>2.14</v>
      </c>
      <c r="R104" s="10">
        <f t="shared" si="40"/>
        <v>2.14</v>
      </c>
      <c r="S104" s="10">
        <f t="shared" si="40"/>
        <v>0.89</v>
      </c>
      <c r="T104" s="10">
        <f t="shared" si="40"/>
        <v>0</v>
      </c>
      <c r="U104" s="10">
        <f t="shared" si="40"/>
        <v>35.229999999999997</v>
      </c>
      <c r="V104" s="10">
        <f t="shared" si="40"/>
        <v>0</v>
      </c>
      <c r="W104" s="10">
        <f t="shared" si="40"/>
        <v>0</v>
      </c>
      <c r="X104" s="10">
        <f t="shared" si="40"/>
        <v>74.08</v>
      </c>
      <c r="Y104" s="10">
        <f t="shared" si="40"/>
        <v>0</v>
      </c>
      <c r="Z104" s="10">
        <f t="shared" si="40"/>
        <v>19.71</v>
      </c>
      <c r="AA104" s="10">
        <f t="shared" si="40"/>
        <v>14.42</v>
      </c>
      <c r="AB104" s="10">
        <f t="shared" si="40"/>
        <v>614.05999999999995</v>
      </c>
      <c r="AC104" s="10">
        <f t="shared" si="40"/>
        <v>0</v>
      </c>
      <c r="AD104" s="10">
        <f t="shared" si="40"/>
        <v>0</v>
      </c>
      <c r="AE104" s="10">
        <f t="shared" si="40"/>
        <v>0</v>
      </c>
      <c r="AF104" s="10">
        <f t="shared" si="40"/>
        <v>225.11</v>
      </c>
      <c r="AG104" s="10">
        <f t="shared" si="40"/>
        <v>53.75</v>
      </c>
      <c r="AH104" s="10">
        <f t="shared" si="40"/>
        <v>0</v>
      </c>
      <c r="AI104" s="10">
        <f t="shared" si="40"/>
        <v>0.4</v>
      </c>
      <c r="AJ104" s="10">
        <f t="shared" si="40"/>
        <v>17.34</v>
      </c>
      <c r="AK104" s="10">
        <f t="shared" si="40"/>
        <v>1593.93</v>
      </c>
      <c r="AL104" s="10">
        <f t="shared" si="40"/>
        <v>89.76</v>
      </c>
      <c r="AM104" s="10">
        <f t="shared" si="40"/>
        <v>0</v>
      </c>
      <c r="AN104" s="10">
        <f t="shared" si="40"/>
        <v>22.84</v>
      </c>
      <c r="AO104" s="10">
        <f t="shared" si="40"/>
        <v>0</v>
      </c>
      <c r="AP104" s="10">
        <f t="shared" si="40"/>
        <v>6.56</v>
      </c>
      <c r="AQ104" s="10">
        <f t="shared" si="40"/>
        <v>0</v>
      </c>
      <c r="AR104" s="10">
        <f t="shared" si="40"/>
        <v>0</v>
      </c>
      <c r="AS104" s="10">
        <f t="shared" si="40"/>
        <v>0</v>
      </c>
      <c r="AT104" s="10">
        <f t="shared" si="40"/>
        <v>20.76</v>
      </c>
      <c r="AU104" s="10">
        <f t="shared" si="40"/>
        <v>0</v>
      </c>
      <c r="AV104" s="10">
        <f t="shared" si="40"/>
        <v>9.39</v>
      </c>
      <c r="AW104" s="10">
        <f t="shared" si="40"/>
        <v>6.26</v>
      </c>
      <c r="AX104" s="10">
        <f t="shared" si="40"/>
        <v>0</v>
      </c>
      <c r="AY104" s="10">
        <f t="shared" si="40"/>
        <v>0</v>
      </c>
      <c r="AZ104" s="10">
        <f t="shared" si="40"/>
        <v>0</v>
      </c>
      <c r="BA104" s="10">
        <f t="shared" si="40"/>
        <v>827.54</v>
      </c>
      <c r="BB104" s="10">
        <f t="shared" si="40"/>
        <v>782.75</v>
      </c>
      <c r="BC104" s="10">
        <f t="shared" si="40"/>
        <v>889.84</v>
      </c>
      <c r="BD104" s="10">
        <f t="shared" si="40"/>
        <v>4.38</v>
      </c>
      <c r="BE104" s="10">
        <f t="shared" si="40"/>
        <v>1762.28</v>
      </c>
      <c r="BF104" s="10">
        <f t="shared" si="40"/>
        <v>20.3</v>
      </c>
      <c r="BG104" s="10">
        <f t="shared" si="40"/>
        <v>0</v>
      </c>
      <c r="BH104" s="10">
        <f t="shared" si="40"/>
        <v>0</v>
      </c>
      <c r="BI104" s="10">
        <f t="shared" si="40"/>
        <v>0</v>
      </c>
      <c r="BJ104" s="10">
        <f t="shared" si="40"/>
        <v>0</v>
      </c>
      <c r="BK104" s="10">
        <f t="shared" si="40"/>
        <v>0</v>
      </c>
      <c r="BL104" s="10">
        <f t="shared" si="40"/>
        <v>0</v>
      </c>
      <c r="BM104" s="10">
        <f t="shared" si="40"/>
        <v>0</v>
      </c>
      <c r="BN104" s="10">
        <f t="shared" ref="BN104:BZ104" si="41">SUM(BN101:BN103)</f>
        <v>0</v>
      </c>
      <c r="BO104" s="10">
        <f t="shared" si="41"/>
        <v>0</v>
      </c>
      <c r="BP104" s="10">
        <f t="shared" si="41"/>
        <v>0</v>
      </c>
      <c r="BQ104" s="10">
        <f t="shared" si="41"/>
        <v>0</v>
      </c>
      <c r="BR104" s="10">
        <f t="shared" si="41"/>
        <v>0</v>
      </c>
      <c r="BS104" s="10">
        <f t="shared" si="41"/>
        <v>0</v>
      </c>
      <c r="BT104" s="10">
        <f t="shared" si="41"/>
        <v>0</v>
      </c>
      <c r="BU104" s="10">
        <f t="shared" si="41"/>
        <v>0</v>
      </c>
      <c r="BV104" s="10">
        <f t="shared" si="41"/>
        <v>0</v>
      </c>
      <c r="BW104" s="10">
        <f t="shared" si="41"/>
        <v>0</v>
      </c>
      <c r="BX104" s="10">
        <f t="shared" si="41"/>
        <v>0</v>
      </c>
      <c r="BY104" s="10">
        <f t="shared" si="41"/>
        <v>0</v>
      </c>
      <c r="BZ104" s="10">
        <f t="shared" si="41"/>
        <v>14108.75</v>
      </c>
    </row>
    <row r="105" spans="1:78">
      <c r="A105" s="6" t="s">
        <v>182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</row>
    <row r="106" spans="1:78">
      <c r="A106" s="7" t="s">
        <v>183</v>
      </c>
      <c r="B106" s="8">
        <v>0</v>
      </c>
      <c r="C106" s="8">
        <v>6517.5</v>
      </c>
      <c r="D106" s="8">
        <v>220</v>
      </c>
      <c r="E106" s="8">
        <v>0</v>
      </c>
      <c r="F106" s="8">
        <v>440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0</v>
      </c>
      <c r="AD106" s="8">
        <v>0</v>
      </c>
      <c r="AE106" s="8">
        <v>0</v>
      </c>
      <c r="AF106" s="8">
        <v>0</v>
      </c>
      <c r="AG106" s="8">
        <v>0</v>
      </c>
      <c r="AH106" s="8">
        <v>0</v>
      </c>
      <c r="AI106" s="8">
        <v>0</v>
      </c>
      <c r="AJ106" s="8">
        <v>0</v>
      </c>
      <c r="AK106" s="8">
        <v>852.5</v>
      </c>
      <c r="AL106" s="8">
        <v>0</v>
      </c>
      <c r="AM106" s="8">
        <v>0</v>
      </c>
      <c r="AN106" s="8">
        <v>0</v>
      </c>
      <c r="AO106" s="8">
        <v>0</v>
      </c>
      <c r="AP106" s="8">
        <v>0</v>
      </c>
      <c r="AQ106" s="8">
        <v>0</v>
      </c>
      <c r="AR106" s="8">
        <v>0</v>
      </c>
      <c r="AS106" s="8">
        <v>0</v>
      </c>
      <c r="AT106" s="8">
        <v>0</v>
      </c>
      <c r="AU106" s="8">
        <v>0</v>
      </c>
      <c r="AV106" s="8">
        <v>0</v>
      </c>
      <c r="AW106" s="8">
        <v>0</v>
      </c>
      <c r="AX106" s="8">
        <v>0</v>
      </c>
      <c r="AY106" s="8">
        <v>0</v>
      </c>
      <c r="AZ106" s="8">
        <v>0</v>
      </c>
      <c r="BA106" s="8">
        <v>0</v>
      </c>
      <c r="BB106" s="8">
        <v>0</v>
      </c>
      <c r="BC106" s="8">
        <v>0</v>
      </c>
      <c r="BD106" s="8">
        <v>0</v>
      </c>
      <c r="BE106" s="8">
        <v>137.5</v>
      </c>
      <c r="BF106" s="8">
        <v>0</v>
      </c>
      <c r="BG106" s="8">
        <v>0</v>
      </c>
      <c r="BH106" s="8">
        <v>0</v>
      </c>
      <c r="BI106" s="8">
        <v>0</v>
      </c>
      <c r="BJ106" s="8">
        <v>0</v>
      </c>
      <c r="BK106" s="8">
        <v>0</v>
      </c>
      <c r="BL106" s="8">
        <v>0</v>
      </c>
      <c r="BM106" s="8">
        <v>0</v>
      </c>
      <c r="BN106" s="8">
        <v>0</v>
      </c>
      <c r="BO106" s="8">
        <v>0</v>
      </c>
      <c r="BP106" s="8">
        <v>0</v>
      </c>
      <c r="BQ106" s="8">
        <v>0</v>
      </c>
      <c r="BR106" s="8">
        <v>0</v>
      </c>
      <c r="BS106" s="8">
        <v>0</v>
      </c>
      <c r="BT106" s="8">
        <v>0</v>
      </c>
      <c r="BU106" s="8">
        <v>0</v>
      </c>
      <c r="BV106" s="8">
        <v>0</v>
      </c>
      <c r="BW106" s="8">
        <v>0</v>
      </c>
      <c r="BX106" s="8">
        <v>0</v>
      </c>
      <c r="BY106" s="8">
        <v>0</v>
      </c>
      <c r="BZ106" s="8">
        <f>SUM(B106:BY106)</f>
        <v>8167.5</v>
      </c>
    </row>
    <row r="107" spans="1:78">
      <c r="A107" s="7" t="s">
        <v>184</v>
      </c>
      <c r="B107" s="8">
        <v>0</v>
      </c>
      <c r="C107" s="8">
        <v>3012.4</v>
      </c>
      <c r="D107" s="8">
        <v>1629.45</v>
      </c>
      <c r="E107" s="8">
        <v>406.92</v>
      </c>
      <c r="F107" s="8">
        <v>637.1</v>
      </c>
      <c r="G107" s="8">
        <v>191.83</v>
      </c>
      <c r="H107" s="8">
        <v>409.97</v>
      </c>
      <c r="I107" s="8">
        <v>856.95</v>
      </c>
      <c r="J107" s="8">
        <v>1726.45</v>
      </c>
      <c r="K107" s="8">
        <v>753.04</v>
      </c>
      <c r="L107" s="8">
        <v>215.59</v>
      </c>
      <c r="M107" s="8">
        <v>404.76</v>
      </c>
      <c r="N107" s="8">
        <v>971.47</v>
      </c>
      <c r="O107" s="8">
        <v>104.91</v>
      </c>
      <c r="P107" s="8">
        <v>0</v>
      </c>
      <c r="Q107" s="8">
        <v>0</v>
      </c>
      <c r="R107" s="8">
        <v>0</v>
      </c>
      <c r="S107" s="8">
        <v>9.64</v>
      </c>
      <c r="T107" s="8">
        <v>0</v>
      </c>
      <c r="U107" s="8">
        <v>234.7</v>
      </c>
      <c r="V107" s="8">
        <v>0</v>
      </c>
      <c r="W107" s="8">
        <v>0</v>
      </c>
      <c r="X107" s="8">
        <v>702.18</v>
      </c>
      <c r="Y107" s="8">
        <v>0</v>
      </c>
      <c r="Z107" s="8">
        <v>0</v>
      </c>
      <c r="AA107" s="8">
        <v>0</v>
      </c>
      <c r="AB107" s="8">
        <v>1434.54</v>
      </c>
      <c r="AC107" s="8">
        <v>0</v>
      </c>
      <c r="AD107" s="8">
        <v>0</v>
      </c>
      <c r="AE107" s="8">
        <v>0</v>
      </c>
      <c r="AF107" s="8">
        <v>1274.72</v>
      </c>
      <c r="AG107" s="8">
        <v>568.72</v>
      </c>
      <c r="AH107" s="8">
        <v>0</v>
      </c>
      <c r="AI107" s="8">
        <v>12.79</v>
      </c>
      <c r="AJ107" s="8">
        <v>157.9</v>
      </c>
      <c r="AK107" s="8">
        <v>156.05000000000001</v>
      </c>
      <c r="AL107" s="8">
        <v>1489.22</v>
      </c>
      <c r="AM107" s="8">
        <v>0</v>
      </c>
      <c r="AN107" s="8">
        <v>405.46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0</v>
      </c>
      <c r="AU107" s="8">
        <v>0</v>
      </c>
      <c r="AV107" s="8">
        <v>340.26</v>
      </c>
      <c r="AW107" s="8">
        <v>0</v>
      </c>
      <c r="AX107" s="8">
        <v>0</v>
      </c>
      <c r="AY107" s="8">
        <v>1047.79</v>
      </c>
      <c r="AZ107" s="8">
        <v>0</v>
      </c>
      <c r="BA107" s="8">
        <v>0</v>
      </c>
      <c r="BB107" s="8">
        <v>87.29</v>
      </c>
      <c r="BC107" s="8">
        <v>87.29</v>
      </c>
      <c r="BD107" s="8">
        <v>94.94</v>
      </c>
      <c r="BE107" s="8">
        <v>186.51</v>
      </c>
      <c r="BF107" s="8">
        <v>389.16</v>
      </c>
      <c r="BG107" s="8">
        <v>0</v>
      </c>
      <c r="BH107" s="8">
        <v>0</v>
      </c>
      <c r="BI107" s="8">
        <v>0</v>
      </c>
      <c r="BJ107" s="8">
        <v>0</v>
      </c>
      <c r="BK107" s="8">
        <v>0</v>
      </c>
      <c r="BL107" s="8">
        <v>0</v>
      </c>
      <c r="BM107" s="8">
        <v>0</v>
      </c>
      <c r="BN107" s="8">
        <v>0</v>
      </c>
      <c r="BO107" s="8">
        <v>0</v>
      </c>
      <c r="BP107" s="8">
        <v>0</v>
      </c>
      <c r="BQ107" s="8">
        <v>0</v>
      </c>
      <c r="BR107" s="8">
        <v>0</v>
      </c>
      <c r="BS107" s="8">
        <v>0</v>
      </c>
      <c r="BT107" s="8">
        <v>0</v>
      </c>
      <c r="BU107" s="8">
        <v>0</v>
      </c>
      <c r="BV107" s="8">
        <v>0</v>
      </c>
      <c r="BW107" s="8">
        <v>0</v>
      </c>
      <c r="BX107" s="8">
        <v>0</v>
      </c>
      <c r="BY107" s="8">
        <v>0</v>
      </c>
      <c r="BZ107" s="8">
        <f>SUM(B107:BY107)</f>
        <v>19999.999999999996</v>
      </c>
    </row>
    <row r="108" spans="1:78">
      <c r="A108" s="9" t="s">
        <v>185</v>
      </c>
      <c r="B108" s="10">
        <f t="shared" ref="B108:BM108" si="42">SUM(B106:B107)</f>
        <v>0</v>
      </c>
      <c r="C108" s="10">
        <f t="shared" si="42"/>
        <v>9529.9</v>
      </c>
      <c r="D108" s="10">
        <f t="shared" si="42"/>
        <v>1849.45</v>
      </c>
      <c r="E108" s="10">
        <f t="shared" si="42"/>
        <v>406.92</v>
      </c>
      <c r="F108" s="10">
        <f t="shared" si="42"/>
        <v>1077.0999999999999</v>
      </c>
      <c r="G108" s="10">
        <f t="shared" si="42"/>
        <v>191.83</v>
      </c>
      <c r="H108" s="10">
        <f t="shared" si="42"/>
        <v>409.97</v>
      </c>
      <c r="I108" s="10">
        <f t="shared" si="42"/>
        <v>856.95</v>
      </c>
      <c r="J108" s="10">
        <f t="shared" si="42"/>
        <v>1726.45</v>
      </c>
      <c r="K108" s="10">
        <f t="shared" si="42"/>
        <v>753.04</v>
      </c>
      <c r="L108" s="10">
        <f t="shared" si="42"/>
        <v>215.59</v>
      </c>
      <c r="M108" s="10">
        <f t="shared" si="42"/>
        <v>404.76</v>
      </c>
      <c r="N108" s="10">
        <f t="shared" si="42"/>
        <v>971.47</v>
      </c>
      <c r="O108" s="10">
        <f t="shared" si="42"/>
        <v>104.91</v>
      </c>
      <c r="P108" s="10">
        <f t="shared" si="42"/>
        <v>0</v>
      </c>
      <c r="Q108" s="10">
        <f t="shared" si="42"/>
        <v>0</v>
      </c>
      <c r="R108" s="10">
        <f t="shared" si="42"/>
        <v>0</v>
      </c>
      <c r="S108" s="10">
        <f t="shared" si="42"/>
        <v>9.64</v>
      </c>
      <c r="T108" s="10">
        <f t="shared" si="42"/>
        <v>0</v>
      </c>
      <c r="U108" s="10">
        <f t="shared" si="42"/>
        <v>234.7</v>
      </c>
      <c r="V108" s="10">
        <f t="shared" si="42"/>
        <v>0</v>
      </c>
      <c r="W108" s="10">
        <f t="shared" si="42"/>
        <v>0</v>
      </c>
      <c r="X108" s="10">
        <f t="shared" si="42"/>
        <v>702.18</v>
      </c>
      <c r="Y108" s="10">
        <f t="shared" si="42"/>
        <v>0</v>
      </c>
      <c r="Z108" s="10">
        <f t="shared" si="42"/>
        <v>0</v>
      </c>
      <c r="AA108" s="10">
        <f t="shared" si="42"/>
        <v>0</v>
      </c>
      <c r="AB108" s="10">
        <f t="shared" si="42"/>
        <v>1434.54</v>
      </c>
      <c r="AC108" s="10">
        <f t="shared" si="42"/>
        <v>0</v>
      </c>
      <c r="AD108" s="10">
        <f t="shared" si="42"/>
        <v>0</v>
      </c>
      <c r="AE108" s="10">
        <f t="shared" si="42"/>
        <v>0</v>
      </c>
      <c r="AF108" s="10">
        <f t="shared" si="42"/>
        <v>1274.72</v>
      </c>
      <c r="AG108" s="10">
        <f t="shared" si="42"/>
        <v>568.72</v>
      </c>
      <c r="AH108" s="10">
        <f t="shared" si="42"/>
        <v>0</v>
      </c>
      <c r="AI108" s="10">
        <f t="shared" si="42"/>
        <v>12.79</v>
      </c>
      <c r="AJ108" s="10">
        <f t="shared" si="42"/>
        <v>157.9</v>
      </c>
      <c r="AK108" s="10">
        <f t="shared" si="42"/>
        <v>1008.55</v>
      </c>
      <c r="AL108" s="10">
        <f t="shared" si="42"/>
        <v>1489.22</v>
      </c>
      <c r="AM108" s="10">
        <f t="shared" si="42"/>
        <v>0</v>
      </c>
      <c r="AN108" s="10">
        <f t="shared" si="42"/>
        <v>405.46</v>
      </c>
      <c r="AO108" s="10">
        <f t="shared" si="42"/>
        <v>0</v>
      </c>
      <c r="AP108" s="10">
        <f t="shared" si="42"/>
        <v>0</v>
      </c>
      <c r="AQ108" s="10">
        <f t="shared" si="42"/>
        <v>0</v>
      </c>
      <c r="AR108" s="10">
        <f t="shared" si="42"/>
        <v>0</v>
      </c>
      <c r="AS108" s="10">
        <f t="shared" si="42"/>
        <v>0</v>
      </c>
      <c r="AT108" s="10">
        <f t="shared" si="42"/>
        <v>0</v>
      </c>
      <c r="AU108" s="10">
        <f t="shared" si="42"/>
        <v>0</v>
      </c>
      <c r="AV108" s="10">
        <f t="shared" si="42"/>
        <v>340.26</v>
      </c>
      <c r="AW108" s="10">
        <f t="shared" si="42"/>
        <v>0</v>
      </c>
      <c r="AX108" s="10">
        <f t="shared" si="42"/>
        <v>0</v>
      </c>
      <c r="AY108" s="10">
        <f t="shared" si="42"/>
        <v>1047.79</v>
      </c>
      <c r="AZ108" s="10">
        <f t="shared" si="42"/>
        <v>0</v>
      </c>
      <c r="BA108" s="10">
        <f t="shared" si="42"/>
        <v>0</v>
      </c>
      <c r="BB108" s="10">
        <f t="shared" si="42"/>
        <v>87.29</v>
      </c>
      <c r="BC108" s="10">
        <f t="shared" si="42"/>
        <v>87.29</v>
      </c>
      <c r="BD108" s="10">
        <f t="shared" si="42"/>
        <v>94.94</v>
      </c>
      <c r="BE108" s="10">
        <f t="shared" si="42"/>
        <v>324.01</v>
      </c>
      <c r="BF108" s="10">
        <f t="shared" si="42"/>
        <v>389.16</v>
      </c>
      <c r="BG108" s="10">
        <f t="shared" si="42"/>
        <v>0</v>
      </c>
      <c r="BH108" s="10">
        <f t="shared" si="42"/>
        <v>0</v>
      </c>
      <c r="BI108" s="10">
        <f t="shared" si="42"/>
        <v>0</v>
      </c>
      <c r="BJ108" s="10">
        <f t="shared" si="42"/>
        <v>0</v>
      </c>
      <c r="BK108" s="10">
        <f t="shared" si="42"/>
        <v>0</v>
      </c>
      <c r="BL108" s="10">
        <f t="shared" si="42"/>
        <v>0</v>
      </c>
      <c r="BM108" s="10">
        <f t="shared" si="42"/>
        <v>0</v>
      </c>
      <c r="BN108" s="10">
        <f t="shared" ref="BN108:BZ108" si="43">SUM(BN106:BN107)</f>
        <v>0</v>
      </c>
      <c r="BO108" s="10">
        <f t="shared" si="43"/>
        <v>0</v>
      </c>
      <c r="BP108" s="10">
        <f t="shared" si="43"/>
        <v>0</v>
      </c>
      <c r="BQ108" s="10">
        <f t="shared" si="43"/>
        <v>0</v>
      </c>
      <c r="BR108" s="10">
        <f t="shared" si="43"/>
        <v>0</v>
      </c>
      <c r="BS108" s="10">
        <f t="shared" si="43"/>
        <v>0</v>
      </c>
      <c r="BT108" s="10">
        <f t="shared" si="43"/>
        <v>0</v>
      </c>
      <c r="BU108" s="10">
        <f t="shared" si="43"/>
        <v>0</v>
      </c>
      <c r="BV108" s="10">
        <f t="shared" si="43"/>
        <v>0</v>
      </c>
      <c r="BW108" s="10">
        <f t="shared" si="43"/>
        <v>0</v>
      </c>
      <c r="BX108" s="10">
        <f t="shared" si="43"/>
        <v>0</v>
      </c>
      <c r="BY108" s="10">
        <f t="shared" si="43"/>
        <v>0</v>
      </c>
      <c r="BZ108" s="10">
        <f t="shared" si="43"/>
        <v>28167.499999999996</v>
      </c>
    </row>
    <row r="109" spans="1:78">
      <c r="A109" s="6" t="s">
        <v>186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</row>
    <row r="110" spans="1:78">
      <c r="A110" s="7" t="s">
        <v>187</v>
      </c>
      <c r="B110" s="8">
        <v>0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0</v>
      </c>
      <c r="AD110" s="8">
        <v>0</v>
      </c>
      <c r="AE110" s="8">
        <v>0</v>
      </c>
      <c r="AF110" s="8">
        <v>0</v>
      </c>
      <c r="AG110" s="8">
        <v>0</v>
      </c>
      <c r="AH110" s="8">
        <v>0</v>
      </c>
      <c r="AI110" s="8">
        <v>0</v>
      </c>
      <c r="AJ110" s="8">
        <v>0</v>
      </c>
      <c r="AK110" s="8">
        <v>0</v>
      </c>
      <c r="AL110" s="8">
        <v>0</v>
      </c>
      <c r="AM110" s="8">
        <v>0</v>
      </c>
      <c r="AN110" s="8">
        <v>0</v>
      </c>
      <c r="AO110" s="8">
        <v>0</v>
      </c>
      <c r="AP110" s="8">
        <v>0</v>
      </c>
      <c r="AQ110" s="8">
        <v>52.09</v>
      </c>
      <c r="AR110" s="8">
        <v>0</v>
      </c>
      <c r="AS110" s="8">
        <v>0</v>
      </c>
      <c r="AT110" s="8">
        <v>0</v>
      </c>
      <c r="AU110" s="8">
        <v>0</v>
      </c>
      <c r="AV110" s="8">
        <v>0</v>
      </c>
      <c r="AW110" s="8">
        <v>0</v>
      </c>
      <c r="AX110" s="8">
        <v>0</v>
      </c>
      <c r="AY110" s="8">
        <v>0</v>
      </c>
      <c r="AZ110" s="8">
        <v>0</v>
      </c>
      <c r="BA110" s="8">
        <v>523.75</v>
      </c>
      <c r="BB110" s="8">
        <v>0</v>
      </c>
      <c r="BC110" s="8">
        <v>0</v>
      </c>
      <c r="BD110" s="8">
        <v>0</v>
      </c>
      <c r="BE110" s="8">
        <v>0</v>
      </c>
      <c r="BF110" s="8">
        <v>0</v>
      </c>
      <c r="BG110" s="8">
        <v>0</v>
      </c>
      <c r="BH110" s="8">
        <v>0</v>
      </c>
      <c r="BI110" s="8">
        <v>0</v>
      </c>
      <c r="BJ110" s="8">
        <v>0</v>
      </c>
      <c r="BK110" s="8">
        <v>0</v>
      </c>
      <c r="BL110" s="8">
        <v>0</v>
      </c>
      <c r="BM110" s="8">
        <v>0</v>
      </c>
      <c r="BN110" s="8">
        <v>0</v>
      </c>
      <c r="BO110" s="8">
        <v>0</v>
      </c>
      <c r="BP110" s="8">
        <v>0</v>
      </c>
      <c r="BQ110" s="8">
        <v>0</v>
      </c>
      <c r="BR110" s="8">
        <v>0</v>
      </c>
      <c r="BS110" s="8">
        <v>0</v>
      </c>
      <c r="BT110" s="8">
        <v>0</v>
      </c>
      <c r="BU110" s="8">
        <v>0</v>
      </c>
      <c r="BV110" s="8">
        <v>0</v>
      </c>
      <c r="BW110" s="8">
        <v>0</v>
      </c>
      <c r="BX110" s="8">
        <v>0</v>
      </c>
      <c r="BY110" s="8">
        <v>0</v>
      </c>
      <c r="BZ110" s="8">
        <f>SUM(B110:BY110)</f>
        <v>575.84</v>
      </c>
    </row>
    <row r="111" spans="1:78">
      <c r="A111" s="7" t="s">
        <v>188</v>
      </c>
      <c r="B111" s="8">
        <v>0</v>
      </c>
      <c r="C111" s="8">
        <v>2174.66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0</v>
      </c>
      <c r="AD111" s="8">
        <v>0</v>
      </c>
      <c r="AE111" s="8">
        <v>0</v>
      </c>
      <c r="AF111" s="8">
        <v>0</v>
      </c>
      <c r="AG111" s="8">
        <v>0</v>
      </c>
      <c r="AH111" s="8">
        <v>0</v>
      </c>
      <c r="AI111" s="8">
        <v>0</v>
      </c>
      <c r="AJ111" s="8">
        <v>0</v>
      </c>
      <c r="AK111" s="8">
        <v>0</v>
      </c>
      <c r="AL111" s="8">
        <v>0</v>
      </c>
      <c r="AM111" s="8">
        <v>0</v>
      </c>
      <c r="AN111" s="8">
        <v>0</v>
      </c>
      <c r="AO111" s="8">
        <v>0</v>
      </c>
      <c r="AP111" s="8">
        <v>0</v>
      </c>
      <c r="AQ111" s="8">
        <v>0</v>
      </c>
      <c r="AR111" s="8">
        <v>0</v>
      </c>
      <c r="AS111" s="8">
        <v>0</v>
      </c>
      <c r="AT111" s="8">
        <v>0</v>
      </c>
      <c r="AU111" s="8">
        <v>0</v>
      </c>
      <c r="AV111" s="8">
        <v>0</v>
      </c>
      <c r="AW111" s="8">
        <v>0</v>
      </c>
      <c r="AX111" s="8">
        <v>0</v>
      </c>
      <c r="AY111" s="8">
        <v>0</v>
      </c>
      <c r="AZ111" s="8">
        <v>0</v>
      </c>
      <c r="BA111" s="8">
        <v>9122.7000000000007</v>
      </c>
      <c r="BB111" s="8">
        <v>0</v>
      </c>
      <c r="BC111" s="8">
        <v>0</v>
      </c>
      <c r="BD111" s="8">
        <v>0</v>
      </c>
      <c r="BE111" s="8">
        <v>0</v>
      </c>
      <c r="BF111" s="8">
        <v>0</v>
      </c>
      <c r="BG111" s="8">
        <v>0</v>
      </c>
      <c r="BH111" s="8">
        <v>0</v>
      </c>
      <c r="BI111" s="8">
        <v>0</v>
      </c>
      <c r="BJ111" s="8">
        <v>0</v>
      </c>
      <c r="BK111" s="8">
        <v>0</v>
      </c>
      <c r="BL111" s="8">
        <v>0</v>
      </c>
      <c r="BM111" s="8">
        <v>0</v>
      </c>
      <c r="BN111" s="8">
        <v>0</v>
      </c>
      <c r="BO111" s="8">
        <v>0</v>
      </c>
      <c r="BP111" s="8">
        <v>0</v>
      </c>
      <c r="BQ111" s="8">
        <v>0</v>
      </c>
      <c r="BR111" s="8">
        <v>0</v>
      </c>
      <c r="BS111" s="8">
        <v>0</v>
      </c>
      <c r="BT111" s="8">
        <v>0</v>
      </c>
      <c r="BU111" s="8">
        <v>0</v>
      </c>
      <c r="BV111" s="8">
        <v>0</v>
      </c>
      <c r="BW111" s="8">
        <v>0</v>
      </c>
      <c r="BX111" s="8">
        <v>0</v>
      </c>
      <c r="BY111" s="8">
        <v>0</v>
      </c>
      <c r="BZ111" s="8">
        <f>SUM(B111:BY111)</f>
        <v>11297.36</v>
      </c>
    </row>
    <row r="112" spans="1:78">
      <c r="A112" s="7" t="s">
        <v>189</v>
      </c>
      <c r="B112" s="8">
        <v>0</v>
      </c>
      <c r="C112" s="8">
        <v>89.3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8">
        <v>0</v>
      </c>
      <c r="AF112" s="8">
        <v>0</v>
      </c>
      <c r="AG112" s="8">
        <v>0</v>
      </c>
      <c r="AH112" s="8">
        <v>0</v>
      </c>
      <c r="AI112" s="8">
        <v>0</v>
      </c>
      <c r="AJ112" s="8">
        <v>0</v>
      </c>
      <c r="AK112" s="8">
        <v>0</v>
      </c>
      <c r="AL112" s="8">
        <v>0</v>
      </c>
      <c r="AM112" s="8">
        <v>0</v>
      </c>
      <c r="AN112" s="8">
        <v>0</v>
      </c>
      <c r="AO112" s="8">
        <v>0</v>
      </c>
      <c r="AP112" s="8">
        <v>0</v>
      </c>
      <c r="AQ112" s="8">
        <v>0</v>
      </c>
      <c r="AR112" s="8">
        <v>0</v>
      </c>
      <c r="AS112" s="8">
        <v>0</v>
      </c>
      <c r="AT112" s="8">
        <v>0</v>
      </c>
      <c r="AU112" s="8">
        <v>0</v>
      </c>
      <c r="AV112" s="8">
        <v>0</v>
      </c>
      <c r="AW112" s="8">
        <v>0</v>
      </c>
      <c r="AX112" s="8">
        <v>0</v>
      </c>
      <c r="AY112" s="8">
        <v>0</v>
      </c>
      <c r="AZ112" s="8">
        <v>0</v>
      </c>
      <c r="BA112" s="8">
        <v>0</v>
      </c>
      <c r="BB112" s="8">
        <v>0</v>
      </c>
      <c r="BC112" s="8">
        <v>0</v>
      </c>
      <c r="BD112" s="8">
        <v>0</v>
      </c>
      <c r="BE112" s="8">
        <v>0</v>
      </c>
      <c r="BF112" s="8">
        <v>0</v>
      </c>
      <c r="BG112" s="8">
        <v>0</v>
      </c>
      <c r="BH112" s="8">
        <v>0</v>
      </c>
      <c r="BI112" s="8">
        <v>0</v>
      </c>
      <c r="BJ112" s="8">
        <v>0</v>
      </c>
      <c r="BK112" s="8">
        <v>0</v>
      </c>
      <c r="BL112" s="8">
        <v>0</v>
      </c>
      <c r="BM112" s="8">
        <v>0</v>
      </c>
      <c r="BN112" s="8">
        <v>0</v>
      </c>
      <c r="BO112" s="8">
        <v>0</v>
      </c>
      <c r="BP112" s="8">
        <v>0</v>
      </c>
      <c r="BQ112" s="8">
        <v>0</v>
      </c>
      <c r="BR112" s="8">
        <v>0</v>
      </c>
      <c r="BS112" s="8">
        <v>0</v>
      </c>
      <c r="BT112" s="8">
        <v>0</v>
      </c>
      <c r="BU112" s="8">
        <v>0</v>
      </c>
      <c r="BV112" s="8">
        <v>0</v>
      </c>
      <c r="BW112" s="8">
        <v>0</v>
      </c>
      <c r="BX112" s="8">
        <v>0</v>
      </c>
      <c r="BY112" s="8">
        <v>0</v>
      </c>
      <c r="BZ112" s="8">
        <f>SUM(B112:BY112)</f>
        <v>89.3</v>
      </c>
    </row>
    <row r="113" spans="1:78">
      <c r="A113" s="7" t="s">
        <v>190</v>
      </c>
      <c r="B113" s="8">
        <v>0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  <c r="AH113" s="8">
        <v>0</v>
      </c>
      <c r="AI113" s="8">
        <v>0</v>
      </c>
      <c r="AJ113" s="8">
        <v>0</v>
      </c>
      <c r="AK113" s="8">
        <v>0</v>
      </c>
      <c r="AL113" s="8">
        <v>0</v>
      </c>
      <c r="AM113" s="8">
        <v>0</v>
      </c>
      <c r="AN113" s="8">
        <v>0</v>
      </c>
      <c r="AO113" s="8">
        <v>0</v>
      </c>
      <c r="AP113" s="8">
        <v>0</v>
      </c>
      <c r="AQ113" s="8">
        <v>0</v>
      </c>
      <c r="AR113" s="8">
        <v>0</v>
      </c>
      <c r="AS113" s="8">
        <v>0</v>
      </c>
      <c r="AT113" s="8">
        <v>0</v>
      </c>
      <c r="AU113" s="8">
        <v>0</v>
      </c>
      <c r="AV113" s="8">
        <v>0</v>
      </c>
      <c r="AW113" s="8">
        <v>0</v>
      </c>
      <c r="AX113" s="8">
        <v>0</v>
      </c>
      <c r="AY113" s="8">
        <v>0</v>
      </c>
      <c r="AZ113" s="8">
        <v>0</v>
      </c>
      <c r="BA113" s="8">
        <v>1667.88</v>
      </c>
      <c r="BB113" s="8">
        <v>0</v>
      </c>
      <c r="BC113" s="8">
        <v>0</v>
      </c>
      <c r="BD113" s="8">
        <v>0</v>
      </c>
      <c r="BE113" s="8">
        <v>0</v>
      </c>
      <c r="BF113" s="8">
        <v>0</v>
      </c>
      <c r="BG113" s="8">
        <v>0</v>
      </c>
      <c r="BH113" s="8">
        <v>0</v>
      </c>
      <c r="BI113" s="8">
        <v>0</v>
      </c>
      <c r="BJ113" s="8">
        <v>0</v>
      </c>
      <c r="BK113" s="8">
        <v>0</v>
      </c>
      <c r="BL113" s="8">
        <v>0</v>
      </c>
      <c r="BM113" s="8">
        <v>0</v>
      </c>
      <c r="BN113" s="8">
        <v>0</v>
      </c>
      <c r="BO113" s="8">
        <v>0</v>
      </c>
      <c r="BP113" s="8">
        <v>0</v>
      </c>
      <c r="BQ113" s="8">
        <v>0</v>
      </c>
      <c r="BR113" s="8">
        <v>0</v>
      </c>
      <c r="BS113" s="8">
        <v>0</v>
      </c>
      <c r="BT113" s="8">
        <v>0</v>
      </c>
      <c r="BU113" s="8">
        <v>0</v>
      </c>
      <c r="BV113" s="8">
        <v>0</v>
      </c>
      <c r="BW113" s="8">
        <v>0</v>
      </c>
      <c r="BX113" s="8">
        <v>0</v>
      </c>
      <c r="BY113" s="8">
        <v>0</v>
      </c>
      <c r="BZ113" s="8">
        <f>SUM(B113:BY113)</f>
        <v>1667.88</v>
      </c>
    </row>
    <row r="114" spans="1:78">
      <c r="A114" s="9" t="s">
        <v>191</v>
      </c>
      <c r="B114" s="10">
        <f t="shared" ref="B114:BM114" si="44">SUM(B110:B113)</f>
        <v>0</v>
      </c>
      <c r="C114" s="10">
        <f t="shared" si="44"/>
        <v>2263.96</v>
      </c>
      <c r="D114" s="10">
        <f t="shared" si="44"/>
        <v>0</v>
      </c>
      <c r="E114" s="10">
        <f t="shared" si="44"/>
        <v>0</v>
      </c>
      <c r="F114" s="10">
        <f t="shared" si="44"/>
        <v>0</v>
      </c>
      <c r="G114" s="10">
        <f t="shared" si="44"/>
        <v>0</v>
      </c>
      <c r="H114" s="10">
        <f t="shared" si="44"/>
        <v>0</v>
      </c>
      <c r="I114" s="10">
        <f t="shared" si="44"/>
        <v>0</v>
      </c>
      <c r="J114" s="10">
        <f t="shared" si="44"/>
        <v>0</v>
      </c>
      <c r="K114" s="10">
        <f t="shared" si="44"/>
        <v>0</v>
      </c>
      <c r="L114" s="10">
        <f t="shared" si="44"/>
        <v>0</v>
      </c>
      <c r="M114" s="10">
        <f t="shared" si="44"/>
        <v>0</v>
      </c>
      <c r="N114" s="10">
        <f t="shared" si="44"/>
        <v>0</v>
      </c>
      <c r="O114" s="10">
        <f t="shared" si="44"/>
        <v>0</v>
      </c>
      <c r="P114" s="10">
        <f t="shared" si="44"/>
        <v>0</v>
      </c>
      <c r="Q114" s="10">
        <f t="shared" si="44"/>
        <v>0</v>
      </c>
      <c r="R114" s="10">
        <f t="shared" si="44"/>
        <v>0</v>
      </c>
      <c r="S114" s="10">
        <f t="shared" si="44"/>
        <v>0</v>
      </c>
      <c r="T114" s="10">
        <f t="shared" si="44"/>
        <v>0</v>
      </c>
      <c r="U114" s="10">
        <f t="shared" si="44"/>
        <v>0</v>
      </c>
      <c r="V114" s="10">
        <f t="shared" si="44"/>
        <v>0</v>
      </c>
      <c r="W114" s="10">
        <f t="shared" si="44"/>
        <v>0</v>
      </c>
      <c r="X114" s="10">
        <f t="shared" si="44"/>
        <v>0</v>
      </c>
      <c r="Y114" s="10">
        <f t="shared" si="44"/>
        <v>0</v>
      </c>
      <c r="Z114" s="10">
        <f t="shared" si="44"/>
        <v>0</v>
      </c>
      <c r="AA114" s="10">
        <f t="shared" si="44"/>
        <v>0</v>
      </c>
      <c r="AB114" s="10">
        <f t="shared" si="44"/>
        <v>0</v>
      </c>
      <c r="AC114" s="10">
        <f t="shared" si="44"/>
        <v>0</v>
      </c>
      <c r="AD114" s="10">
        <f t="shared" si="44"/>
        <v>0</v>
      </c>
      <c r="AE114" s="10">
        <f t="shared" si="44"/>
        <v>0</v>
      </c>
      <c r="AF114" s="10">
        <f t="shared" si="44"/>
        <v>0</v>
      </c>
      <c r="AG114" s="10">
        <f t="shared" si="44"/>
        <v>0</v>
      </c>
      <c r="AH114" s="10">
        <f t="shared" si="44"/>
        <v>0</v>
      </c>
      <c r="AI114" s="10">
        <f t="shared" si="44"/>
        <v>0</v>
      </c>
      <c r="AJ114" s="10">
        <f t="shared" si="44"/>
        <v>0</v>
      </c>
      <c r="AK114" s="10">
        <f t="shared" si="44"/>
        <v>0</v>
      </c>
      <c r="AL114" s="10">
        <f t="shared" si="44"/>
        <v>0</v>
      </c>
      <c r="AM114" s="10">
        <f t="shared" si="44"/>
        <v>0</v>
      </c>
      <c r="AN114" s="10">
        <f t="shared" si="44"/>
        <v>0</v>
      </c>
      <c r="AO114" s="10">
        <f t="shared" si="44"/>
        <v>0</v>
      </c>
      <c r="AP114" s="10">
        <f t="shared" si="44"/>
        <v>0</v>
      </c>
      <c r="AQ114" s="10">
        <f t="shared" si="44"/>
        <v>52.09</v>
      </c>
      <c r="AR114" s="10">
        <f t="shared" si="44"/>
        <v>0</v>
      </c>
      <c r="AS114" s="10">
        <f t="shared" si="44"/>
        <v>0</v>
      </c>
      <c r="AT114" s="10">
        <f t="shared" si="44"/>
        <v>0</v>
      </c>
      <c r="AU114" s="10">
        <f t="shared" si="44"/>
        <v>0</v>
      </c>
      <c r="AV114" s="10">
        <f t="shared" si="44"/>
        <v>0</v>
      </c>
      <c r="AW114" s="10">
        <f t="shared" si="44"/>
        <v>0</v>
      </c>
      <c r="AX114" s="10">
        <f t="shared" si="44"/>
        <v>0</v>
      </c>
      <c r="AY114" s="10">
        <f t="shared" si="44"/>
        <v>0</v>
      </c>
      <c r="AZ114" s="10">
        <f t="shared" si="44"/>
        <v>0</v>
      </c>
      <c r="BA114" s="10">
        <f t="shared" si="44"/>
        <v>11314.330000000002</v>
      </c>
      <c r="BB114" s="10">
        <f t="shared" si="44"/>
        <v>0</v>
      </c>
      <c r="BC114" s="10">
        <f t="shared" si="44"/>
        <v>0</v>
      </c>
      <c r="BD114" s="10">
        <f t="shared" si="44"/>
        <v>0</v>
      </c>
      <c r="BE114" s="10">
        <f t="shared" si="44"/>
        <v>0</v>
      </c>
      <c r="BF114" s="10">
        <f t="shared" si="44"/>
        <v>0</v>
      </c>
      <c r="BG114" s="10">
        <f t="shared" si="44"/>
        <v>0</v>
      </c>
      <c r="BH114" s="10">
        <f t="shared" si="44"/>
        <v>0</v>
      </c>
      <c r="BI114" s="10">
        <f t="shared" si="44"/>
        <v>0</v>
      </c>
      <c r="BJ114" s="10">
        <f t="shared" si="44"/>
        <v>0</v>
      </c>
      <c r="BK114" s="10">
        <f t="shared" si="44"/>
        <v>0</v>
      </c>
      <c r="BL114" s="10">
        <f t="shared" si="44"/>
        <v>0</v>
      </c>
      <c r="BM114" s="10">
        <f t="shared" si="44"/>
        <v>0</v>
      </c>
      <c r="BN114" s="10">
        <f t="shared" ref="BN114:BZ114" si="45">SUM(BN110:BN113)</f>
        <v>0</v>
      </c>
      <c r="BO114" s="10">
        <f t="shared" si="45"/>
        <v>0</v>
      </c>
      <c r="BP114" s="10">
        <f t="shared" si="45"/>
        <v>0</v>
      </c>
      <c r="BQ114" s="10">
        <f t="shared" si="45"/>
        <v>0</v>
      </c>
      <c r="BR114" s="10">
        <f t="shared" si="45"/>
        <v>0</v>
      </c>
      <c r="BS114" s="10">
        <f t="shared" si="45"/>
        <v>0</v>
      </c>
      <c r="BT114" s="10">
        <f t="shared" si="45"/>
        <v>0</v>
      </c>
      <c r="BU114" s="10">
        <f t="shared" si="45"/>
        <v>0</v>
      </c>
      <c r="BV114" s="10">
        <f t="shared" si="45"/>
        <v>0</v>
      </c>
      <c r="BW114" s="10">
        <f t="shared" si="45"/>
        <v>0</v>
      </c>
      <c r="BX114" s="10">
        <f t="shared" si="45"/>
        <v>0</v>
      </c>
      <c r="BY114" s="10">
        <f t="shared" si="45"/>
        <v>0</v>
      </c>
      <c r="BZ114" s="10">
        <f t="shared" si="45"/>
        <v>13630.380000000001</v>
      </c>
    </row>
    <row r="115" spans="1:78">
      <c r="A115" s="6" t="s">
        <v>192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</row>
    <row r="116" spans="1:78">
      <c r="A116" s="7" t="s">
        <v>193</v>
      </c>
      <c r="B116" s="8">
        <v>0</v>
      </c>
      <c r="C116" s="8">
        <v>96.6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v>0</v>
      </c>
      <c r="AC116" s="8">
        <v>0</v>
      </c>
      <c r="AD116" s="8">
        <v>0</v>
      </c>
      <c r="AE116" s="8">
        <v>0</v>
      </c>
      <c r="AF116" s="8">
        <v>0</v>
      </c>
      <c r="AG116" s="8">
        <v>0</v>
      </c>
      <c r="AH116" s="8">
        <v>0</v>
      </c>
      <c r="AI116" s="8">
        <v>0</v>
      </c>
      <c r="AJ116" s="8">
        <v>0</v>
      </c>
      <c r="AK116" s="8">
        <v>0</v>
      </c>
      <c r="AL116" s="8">
        <v>0</v>
      </c>
      <c r="AM116" s="8">
        <v>0</v>
      </c>
      <c r="AN116" s="8">
        <v>0</v>
      </c>
      <c r="AO116" s="8">
        <v>0</v>
      </c>
      <c r="AP116" s="8">
        <v>0</v>
      </c>
      <c r="AQ116" s="8">
        <v>0</v>
      </c>
      <c r="AR116" s="8">
        <v>0</v>
      </c>
      <c r="AS116" s="8">
        <v>0</v>
      </c>
      <c r="AT116" s="8">
        <v>0</v>
      </c>
      <c r="AU116" s="8">
        <v>0</v>
      </c>
      <c r="AV116" s="8">
        <v>0</v>
      </c>
      <c r="AW116" s="8">
        <v>0</v>
      </c>
      <c r="AX116" s="8">
        <v>0</v>
      </c>
      <c r="AY116" s="8">
        <v>0</v>
      </c>
      <c r="AZ116" s="8">
        <v>0</v>
      </c>
      <c r="BA116" s="8">
        <v>0</v>
      </c>
      <c r="BB116" s="8">
        <v>0</v>
      </c>
      <c r="BC116" s="8">
        <v>0</v>
      </c>
      <c r="BD116" s="8">
        <v>0</v>
      </c>
      <c r="BE116" s="8">
        <v>0</v>
      </c>
      <c r="BF116" s="8">
        <v>0</v>
      </c>
      <c r="BG116" s="8">
        <v>0</v>
      </c>
      <c r="BH116" s="8">
        <v>0</v>
      </c>
      <c r="BI116" s="8">
        <v>0</v>
      </c>
      <c r="BJ116" s="8">
        <v>0</v>
      </c>
      <c r="BK116" s="8">
        <v>0</v>
      </c>
      <c r="BL116" s="8">
        <v>0</v>
      </c>
      <c r="BM116" s="8">
        <v>0</v>
      </c>
      <c r="BN116" s="8">
        <v>0</v>
      </c>
      <c r="BO116" s="8">
        <v>0</v>
      </c>
      <c r="BP116" s="8">
        <v>0</v>
      </c>
      <c r="BQ116" s="8">
        <v>0</v>
      </c>
      <c r="BR116" s="8">
        <v>0</v>
      </c>
      <c r="BS116" s="8">
        <v>0</v>
      </c>
      <c r="BT116" s="8">
        <v>0</v>
      </c>
      <c r="BU116" s="8">
        <v>0</v>
      </c>
      <c r="BV116" s="8">
        <v>0</v>
      </c>
      <c r="BW116" s="8">
        <v>0</v>
      </c>
      <c r="BX116" s="8">
        <v>0</v>
      </c>
      <c r="BY116" s="8">
        <v>0</v>
      </c>
      <c r="BZ116" s="8">
        <f>SUM(B116:BY116)</f>
        <v>96.6</v>
      </c>
    </row>
    <row r="117" spans="1:78">
      <c r="A117" s="9" t="s">
        <v>194</v>
      </c>
      <c r="B117" s="10">
        <f t="shared" ref="B117:BM117" si="46">SUM(B116)</f>
        <v>0</v>
      </c>
      <c r="C117" s="10">
        <f t="shared" si="46"/>
        <v>96.6</v>
      </c>
      <c r="D117" s="10">
        <f t="shared" si="46"/>
        <v>0</v>
      </c>
      <c r="E117" s="10">
        <f t="shared" si="46"/>
        <v>0</v>
      </c>
      <c r="F117" s="10">
        <f t="shared" si="46"/>
        <v>0</v>
      </c>
      <c r="G117" s="10">
        <f t="shared" si="46"/>
        <v>0</v>
      </c>
      <c r="H117" s="10">
        <f t="shared" si="46"/>
        <v>0</v>
      </c>
      <c r="I117" s="10">
        <f t="shared" si="46"/>
        <v>0</v>
      </c>
      <c r="J117" s="10">
        <f t="shared" si="46"/>
        <v>0</v>
      </c>
      <c r="K117" s="10">
        <f t="shared" si="46"/>
        <v>0</v>
      </c>
      <c r="L117" s="10">
        <f t="shared" si="46"/>
        <v>0</v>
      </c>
      <c r="M117" s="10">
        <f t="shared" si="46"/>
        <v>0</v>
      </c>
      <c r="N117" s="10">
        <f t="shared" si="46"/>
        <v>0</v>
      </c>
      <c r="O117" s="10">
        <f t="shared" si="46"/>
        <v>0</v>
      </c>
      <c r="P117" s="10">
        <f t="shared" si="46"/>
        <v>0</v>
      </c>
      <c r="Q117" s="10">
        <f t="shared" si="46"/>
        <v>0</v>
      </c>
      <c r="R117" s="10">
        <f t="shared" si="46"/>
        <v>0</v>
      </c>
      <c r="S117" s="10">
        <f t="shared" si="46"/>
        <v>0</v>
      </c>
      <c r="T117" s="10">
        <f t="shared" si="46"/>
        <v>0</v>
      </c>
      <c r="U117" s="10">
        <f t="shared" si="46"/>
        <v>0</v>
      </c>
      <c r="V117" s="10">
        <f t="shared" si="46"/>
        <v>0</v>
      </c>
      <c r="W117" s="10">
        <f t="shared" si="46"/>
        <v>0</v>
      </c>
      <c r="X117" s="10">
        <f t="shared" si="46"/>
        <v>0</v>
      </c>
      <c r="Y117" s="10">
        <f t="shared" si="46"/>
        <v>0</v>
      </c>
      <c r="Z117" s="10">
        <f t="shared" si="46"/>
        <v>0</v>
      </c>
      <c r="AA117" s="10">
        <f t="shared" si="46"/>
        <v>0</v>
      </c>
      <c r="AB117" s="10">
        <f t="shared" si="46"/>
        <v>0</v>
      </c>
      <c r="AC117" s="10">
        <f t="shared" si="46"/>
        <v>0</v>
      </c>
      <c r="AD117" s="10">
        <f t="shared" si="46"/>
        <v>0</v>
      </c>
      <c r="AE117" s="10">
        <f t="shared" si="46"/>
        <v>0</v>
      </c>
      <c r="AF117" s="10">
        <f t="shared" si="46"/>
        <v>0</v>
      </c>
      <c r="AG117" s="10">
        <f t="shared" si="46"/>
        <v>0</v>
      </c>
      <c r="AH117" s="10">
        <f t="shared" si="46"/>
        <v>0</v>
      </c>
      <c r="AI117" s="10">
        <f t="shared" si="46"/>
        <v>0</v>
      </c>
      <c r="AJ117" s="10">
        <f t="shared" si="46"/>
        <v>0</v>
      </c>
      <c r="AK117" s="10">
        <f t="shared" si="46"/>
        <v>0</v>
      </c>
      <c r="AL117" s="10">
        <f t="shared" si="46"/>
        <v>0</v>
      </c>
      <c r="AM117" s="10">
        <f t="shared" si="46"/>
        <v>0</v>
      </c>
      <c r="AN117" s="10">
        <f t="shared" si="46"/>
        <v>0</v>
      </c>
      <c r="AO117" s="10">
        <f t="shared" si="46"/>
        <v>0</v>
      </c>
      <c r="AP117" s="10">
        <f t="shared" si="46"/>
        <v>0</v>
      </c>
      <c r="AQ117" s="10">
        <f t="shared" si="46"/>
        <v>0</v>
      </c>
      <c r="AR117" s="10">
        <f t="shared" si="46"/>
        <v>0</v>
      </c>
      <c r="AS117" s="10">
        <f t="shared" si="46"/>
        <v>0</v>
      </c>
      <c r="AT117" s="10">
        <f t="shared" si="46"/>
        <v>0</v>
      </c>
      <c r="AU117" s="10">
        <f t="shared" si="46"/>
        <v>0</v>
      </c>
      <c r="AV117" s="10">
        <f t="shared" si="46"/>
        <v>0</v>
      </c>
      <c r="AW117" s="10">
        <f t="shared" si="46"/>
        <v>0</v>
      </c>
      <c r="AX117" s="10">
        <f t="shared" si="46"/>
        <v>0</v>
      </c>
      <c r="AY117" s="10">
        <f t="shared" si="46"/>
        <v>0</v>
      </c>
      <c r="AZ117" s="10">
        <f t="shared" si="46"/>
        <v>0</v>
      </c>
      <c r="BA117" s="10">
        <f t="shared" si="46"/>
        <v>0</v>
      </c>
      <c r="BB117" s="10">
        <f t="shared" si="46"/>
        <v>0</v>
      </c>
      <c r="BC117" s="10">
        <f t="shared" si="46"/>
        <v>0</v>
      </c>
      <c r="BD117" s="10">
        <f t="shared" si="46"/>
        <v>0</v>
      </c>
      <c r="BE117" s="10">
        <f t="shared" si="46"/>
        <v>0</v>
      </c>
      <c r="BF117" s="10">
        <f t="shared" si="46"/>
        <v>0</v>
      </c>
      <c r="BG117" s="10">
        <f t="shared" si="46"/>
        <v>0</v>
      </c>
      <c r="BH117" s="10">
        <f t="shared" si="46"/>
        <v>0</v>
      </c>
      <c r="BI117" s="10">
        <f t="shared" si="46"/>
        <v>0</v>
      </c>
      <c r="BJ117" s="10">
        <f t="shared" si="46"/>
        <v>0</v>
      </c>
      <c r="BK117" s="10">
        <f t="shared" si="46"/>
        <v>0</v>
      </c>
      <c r="BL117" s="10">
        <f t="shared" si="46"/>
        <v>0</v>
      </c>
      <c r="BM117" s="10">
        <f t="shared" si="46"/>
        <v>0</v>
      </c>
      <c r="BN117" s="10">
        <f t="shared" ref="BN117:BZ117" si="47">SUM(BN116)</f>
        <v>0</v>
      </c>
      <c r="BO117" s="10">
        <f t="shared" si="47"/>
        <v>0</v>
      </c>
      <c r="BP117" s="10">
        <f t="shared" si="47"/>
        <v>0</v>
      </c>
      <c r="BQ117" s="10">
        <f t="shared" si="47"/>
        <v>0</v>
      </c>
      <c r="BR117" s="10">
        <f t="shared" si="47"/>
        <v>0</v>
      </c>
      <c r="BS117" s="10">
        <f t="shared" si="47"/>
        <v>0</v>
      </c>
      <c r="BT117" s="10">
        <f t="shared" si="47"/>
        <v>0</v>
      </c>
      <c r="BU117" s="10">
        <f t="shared" si="47"/>
        <v>0</v>
      </c>
      <c r="BV117" s="10">
        <f t="shared" si="47"/>
        <v>0</v>
      </c>
      <c r="BW117" s="10">
        <f t="shared" si="47"/>
        <v>0</v>
      </c>
      <c r="BX117" s="10">
        <f t="shared" si="47"/>
        <v>0</v>
      </c>
      <c r="BY117" s="10">
        <f t="shared" si="47"/>
        <v>0</v>
      </c>
      <c r="BZ117" s="10">
        <f t="shared" si="47"/>
        <v>96.6</v>
      </c>
    </row>
    <row r="118" spans="1:78">
      <c r="A118" s="11" t="s">
        <v>195</v>
      </c>
      <c r="B118" s="8">
        <v>0</v>
      </c>
      <c r="C118" s="8">
        <v>6198.22</v>
      </c>
      <c r="D118" s="8">
        <v>180</v>
      </c>
      <c r="E118" s="8">
        <v>0</v>
      </c>
      <c r="F118" s="8">
        <v>0</v>
      </c>
      <c r="G118" s="8">
        <v>180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180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67</v>
      </c>
      <c r="Y118" s="8">
        <v>0</v>
      </c>
      <c r="Z118" s="8">
        <v>0</v>
      </c>
      <c r="AA118" s="8">
        <v>0</v>
      </c>
      <c r="AB118" s="8">
        <v>1415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  <c r="AH118" s="8">
        <v>0</v>
      </c>
      <c r="AI118" s="8">
        <v>0</v>
      </c>
      <c r="AJ118" s="8">
        <v>0</v>
      </c>
      <c r="AK118" s="8">
        <v>0</v>
      </c>
      <c r="AL118" s="8">
        <v>0</v>
      </c>
      <c r="AM118" s="8">
        <v>0</v>
      </c>
      <c r="AN118" s="8">
        <v>0</v>
      </c>
      <c r="AO118" s="8">
        <v>0</v>
      </c>
      <c r="AP118" s="8">
        <v>0</v>
      </c>
      <c r="AQ118" s="8">
        <v>0</v>
      </c>
      <c r="AR118" s="8">
        <v>0</v>
      </c>
      <c r="AS118" s="8">
        <v>0</v>
      </c>
      <c r="AT118" s="8">
        <v>0</v>
      </c>
      <c r="AU118" s="8">
        <v>0</v>
      </c>
      <c r="AV118" s="8">
        <v>0</v>
      </c>
      <c r="AW118" s="8">
        <v>0</v>
      </c>
      <c r="AX118" s="8">
        <v>0</v>
      </c>
      <c r="AY118" s="8">
        <v>0</v>
      </c>
      <c r="AZ118" s="8">
        <v>0</v>
      </c>
      <c r="BA118" s="8">
        <v>0</v>
      </c>
      <c r="BB118" s="8">
        <v>0</v>
      </c>
      <c r="BC118" s="8">
        <v>0</v>
      </c>
      <c r="BD118" s="8">
        <v>0</v>
      </c>
      <c r="BE118" s="8">
        <v>0</v>
      </c>
      <c r="BF118" s="8">
        <v>0</v>
      </c>
      <c r="BG118" s="8">
        <v>0</v>
      </c>
      <c r="BH118" s="8">
        <v>0</v>
      </c>
      <c r="BI118" s="8">
        <v>0</v>
      </c>
      <c r="BJ118" s="8">
        <v>0</v>
      </c>
      <c r="BK118" s="8">
        <v>0</v>
      </c>
      <c r="BL118" s="8">
        <v>0</v>
      </c>
      <c r="BM118" s="8">
        <v>0</v>
      </c>
      <c r="BN118" s="8">
        <v>0</v>
      </c>
      <c r="BO118" s="8">
        <v>0</v>
      </c>
      <c r="BP118" s="8">
        <v>0</v>
      </c>
      <c r="BQ118" s="8">
        <v>0</v>
      </c>
      <c r="BR118" s="8">
        <v>0</v>
      </c>
      <c r="BS118" s="8">
        <v>0</v>
      </c>
      <c r="BT118" s="8">
        <v>0</v>
      </c>
      <c r="BU118" s="8">
        <v>0</v>
      </c>
      <c r="BV118" s="8">
        <v>0</v>
      </c>
      <c r="BW118" s="8">
        <v>0</v>
      </c>
      <c r="BX118" s="8">
        <v>0</v>
      </c>
      <c r="BY118" s="8">
        <v>0</v>
      </c>
      <c r="BZ118" s="8">
        <f>SUM(B118:BY118)</f>
        <v>8220.2200000000012</v>
      </c>
    </row>
    <row r="119" spans="1:78">
      <c r="A119" s="11" t="s">
        <v>196</v>
      </c>
      <c r="B119" s="8">
        <v>0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8">
        <v>0</v>
      </c>
      <c r="AF119" s="8">
        <v>0</v>
      </c>
      <c r="AG119" s="8">
        <v>0</v>
      </c>
      <c r="AH119" s="8">
        <v>0</v>
      </c>
      <c r="AI119" s="8">
        <v>0</v>
      </c>
      <c r="AJ119" s="8">
        <v>0</v>
      </c>
      <c r="AK119" s="8">
        <v>0</v>
      </c>
      <c r="AL119" s="8">
        <v>0</v>
      </c>
      <c r="AM119" s="8">
        <v>0</v>
      </c>
      <c r="AN119" s="8">
        <v>0</v>
      </c>
      <c r="AO119" s="8">
        <v>0</v>
      </c>
      <c r="AP119" s="8">
        <v>0</v>
      </c>
      <c r="AQ119" s="8">
        <v>0</v>
      </c>
      <c r="AR119" s="8">
        <v>0</v>
      </c>
      <c r="AS119" s="8">
        <v>0</v>
      </c>
      <c r="AT119" s="8">
        <v>0</v>
      </c>
      <c r="AU119" s="8">
        <v>0</v>
      </c>
      <c r="AV119" s="8">
        <v>0</v>
      </c>
      <c r="AW119" s="8">
        <v>0</v>
      </c>
      <c r="AX119" s="8">
        <v>0</v>
      </c>
      <c r="AY119" s="8">
        <v>0</v>
      </c>
      <c r="AZ119" s="8">
        <v>0</v>
      </c>
      <c r="BA119" s="8">
        <v>19979.57</v>
      </c>
      <c r="BB119" s="8">
        <v>0</v>
      </c>
      <c r="BC119" s="8">
        <v>0</v>
      </c>
      <c r="BD119" s="8">
        <v>0</v>
      </c>
      <c r="BE119" s="8">
        <v>0</v>
      </c>
      <c r="BF119" s="8">
        <v>0</v>
      </c>
      <c r="BG119" s="8">
        <v>0</v>
      </c>
      <c r="BH119" s="8">
        <v>0</v>
      </c>
      <c r="BI119" s="8">
        <v>0</v>
      </c>
      <c r="BJ119" s="8">
        <v>0</v>
      </c>
      <c r="BK119" s="8">
        <v>0</v>
      </c>
      <c r="BL119" s="8">
        <v>0</v>
      </c>
      <c r="BM119" s="8">
        <v>0</v>
      </c>
      <c r="BN119" s="8">
        <v>0</v>
      </c>
      <c r="BO119" s="8">
        <v>0</v>
      </c>
      <c r="BP119" s="8">
        <v>0</v>
      </c>
      <c r="BQ119" s="8">
        <v>0</v>
      </c>
      <c r="BR119" s="8">
        <v>0</v>
      </c>
      <c r="BS119" s="8">
        <v>0</v>
      </c>
      <c r="BT119" s="8">
        <v>0</v>
      </c>
      <c r="BU119" s="8">
        <v>0</v>
      </c>
      <c r="BV119" s="8">
        <v>0</v>
      </c>
      <c r="BW119" s="8">
        <v>0</v>
      </c>
      <c r="BX119" s="8">
        <v>0</v>
      </c>
      <c r="BY119" s="8">
        <v>0</v>
      </c>
      <c r="BZ119" s="8">
        <f>SUM(B119:BY119)</f>
        <v>19979.57</v>
      </c>
    </row>
    <row r="120" spans="1:78">
      <c r="A120" s="6" t="s">
        <v>197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</row>
    <row r="121" spans="1:78">
      <c r="A121" s="7" t="s">
        <v>198</v>
      </c>
      <c r="B121" s="8">
        <v>0</v>
      </c>
      <c r="C121" s="8">
        <v>734.32</v>
      </c>
      <c r="D121" s="8">
        <v>100.84</v>
      </c>
      <c r="E121" s="8">
        <v>35.17</v>
      </c>
      <c r="F121" s="8">
        <v>0</v>
      </c>
      <c r="G121" s="8">
        <v>139.36000000000001</v>
      </c>
      <c r="H121" s="8">
        <v>35.08</v>
      </c>
      <c r="I121" s="8">
        <v>0</v>
      </c>
      <c r="J121" s="8">
        <v>335.96</v>
      </c>
      <c r="K121" s="8">
        <v>0</v>
      </c>
      <c r="L121" s="8">
        <v>35.08</v>
      </c>
      <c r="M121" s="8">
        <v>0</v>
      </c>
      <c r="N121" s="8">
        <v>100</v>
      </c>
      <c r="O121" s="8">
        <v>221.7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23.32</v>
      </c>
      <c r="V121" s="8">
        <v>0</v>
      </c>
      <c r="W121" s="8">
        <v>0</v>
      </c>
      <c r="X121" s="8">
        <v>0</v>
      </c>
      <c r="Y121" s="8">
        <v>0</v>
      </c>
      <c r="Z121" s="8">
        <v>38.479999999999997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35.08</v>
      </c>
      <c r="AG121" s="8">
        <v>0</v>
      </c>
      <c r="AH121" s="8">
        <v>0</v>
      </c>
      <c r="AI121" s="8">
        <v>0</v>
      </c>
      <c r="AJ121" s="8">
        <v>0</v>
      </c>
      <c r="AK121" s="8">
        <v>0</v>
      </c>
      <c r="AL121" s="8">
        <v>0</v>
      </c>
      <c r="AM121" s="8">
        <v>0</v>
      </c>
      <c r="AN121" s="8">
        <v>0</v>
      </c>
      <c r="AO121" s="8">
        <v>0</v>
      </c>
      <c r="AP121" s="8">
        <v>0</v>
      </c>
      <c r="AQ121" s="8">
        <v>0</v>
      </c>
      <c r="AR121" s="8">
        <v>0</v>
      </c>
      <c r="AS121" s="8">
        <v>0</v>
      </c>
      <c r="AT121" s="8">
        <v>0</v>
      </c>
      <c r="AU121" s="8">
        <v>0</v>
      </c>
      <c r="AV121" s="8">
        <v>0</v>
      </c>
      <c r="AW121" s="8">
        <v>0</v>
      </c>
      <c r="AX121" s="8">
        <v>0</v>
      </c>
      <c r="AY121" s="8">
        <v>0</v>
      </c>
      <c r="AZ121" s="8">
        <v>0</v>
      </c>
      <c r="BA121" s="8">
        <v>0</v>
      </c>
      <c r="BB121" s="8">
        <v>0</v>
      </c>
      <c r="BC121" s="8">
        <v>0</v>
      </c>
      <c r="BD121" s="8">
        <v>0</v>
      </c>
      <c r="BE121" s="8">
        <v>0</v>
      </c>
      <c r="BF121" s="8">
        <v>0</v>
      </c>
      <c r="BG121" s="8">
        <v>0</v>
      </c>
      <c r="BH121" s="8">
        <v>0</v>
      </c>
      <c r="BI121" s="8">
        <v>0</v>
      </c>
      <c r="BJ121" s="8">
        <v>0</v>
      </c>
      <c r="BK121" s="8">
        <v>0</v>
      </c>
      <c r="BL121" s="8">
        <v>0</v>
      </c>
      <c r="BM121" s="8">
        <v>0</v>
      </c>
      <c r="BN121" s="8">
        <v>0</v>
      </c>
      <c r="BO121" s="8">
        <v>0</v>
      </c>
      <c r="BP121" s="8">
        <v>0</v>
      </c>
      <c r="BQ121" s="8">
        <v>0</v>
      </c>
      <c r="BR121" s="8">
        <v>0</v>
      </c>
      <c r="BS121" s="8">
        <v>0</v>
      </c>
      <c r="BT121" s="8">
        <v>0</v>
      </c>
      <c r="BU121" s="8">
        <v>0</v>
      </c>
      <c r="BV121" s="8">
        <v>0</v>
      </c>
      <c r="BW121" s="8">
        <v>0</v>
      </c>
      <c r="BX121" s="8">
        <v>0</v>
      </c>
      <c r="BY121" s="8">
        <v>0</v>
      </c>
      <c r="BZ121" s="8">
        <f>SUM(B121:BY121)</f>
        <v>1834.3899999999999</v>
      </c>
    </row>
    <row r="122" spans="1:78">
      <c r="A122" s="7" t="s">
        <v>199</v>
      </c>
      <c r="B122" s="8">
        <v>0</v>
      </c>
      <c r="C122" s="8">
        <v>652.75</v>
      </c>
      <c r="D122" s="8">
        <v>221.25</v>
      </c>
      <c r="E122" s="8">
        <v>82.5</v>
      </c>
      <c r="F122" s="8">
        <v>82.5</v>
      </c>
      <c r="G122" s="8">
        <v>82.5</v>
      </c>
      <c r="H122" s="8">
        <v>138.75</v>
      </c>
      <c r="I122" s="8">
        <v>0</v>
      </c>
      <c r="J122" s="8">
        <v>157</v>
      </c>
      <c r="K122" s="8">
        <v>82.5</v>
      </c>
      <c r="L122" s="8">
        <v>313.75</v>
      </c>
      <c r="M122" s="8">
        <v>0</v>
      </c>
      <c r="N122" s="8">
        <v>335.91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74.5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8">
        <v>0</v>
      </c>
      <c r="AC122" s="8">
        <v>0</v>
      </c>
      <c r="AD122" s="8">
        <v>0</v>
      </c>
      <c r="AE122" s="8">
        <v>0</v>
      </c>
      <c r="AF122" s="8">
        <v>2282</v>
      </c>
      <c r="AG122" s="8">
        <v>0</v>
      </c>
      <c r="AH122" s="8">
        <v>0</v>
      </c>
      <c r="AI122" s="8">
        <v>0</v>
      </c>
      <c r="AJ122" s="8">
        <v>0</v>
      </c>
      <c r="AK122" s="8">
        <v>0</v>
      </c>
      <c r="AL122" s="8">
        <v>0</v>
      </c>
      <c r="AM122" s="8">
        <v>0</v>
      </c>
      <c r="AN122" s="8">
        <v>0</v>
      </c>
      <c r="AO122" s="8">
        <v>0</v>
      </c>
      <c r="AP122" s="8">
        <v>0</v>
      </c>
      <c r="AQ122" s="8">
        <v>0</v>
      </c>
      <c r="AR122" s="8">
        <v>0</v>
      </c>
      <c r="AS122" s="8">
        <v>0</v>
      </c>
      <c r="AT122" s="8">
        <v>0</v>
      </c>
      <c r="AU122" s="8">
        <v>0</v>
      </c>
      <c r="AV122" s="8">
        <v>0</v>
      </c>
      <c r="AW122" s="8">
        <v>0</v>
      </c>
      <c r="AX122" s="8">
        <v>0</v>
      </c>
      <c r="AY122" s="8">
        <v>0</v>
      </c>
      <c r="AZ122" s="8">
        <v>0</v>
      </c>
      <c r="BA122" s="8">
        <v>0</v>
      </c>
      <c r="BB122" s="8">
        <v>0</v>
      </c>
      <c r="BC122" s="8">
        <v>0</v>
      </c>
      <c r="BD122" s="8">
        <v>0</v>
      </c>
      <c r="BE122" s="8">
        <v>321.25</v>
      </c>
      <c r="BF122" s="8">
        <v>0</v>
      </c>
      <c r="BG122" s="8">
        <v>0</v>
      </c>
      <c r="BH122" s="8">
        <v>0</v>
      </c>
      <c r="BI122" s="8">
        <v>0</v>
      </c>
      <c r="BJ122" s="8">
        <v>0</v>
      </c>
      <c r="BK122" s="8">
        <v>0</v>
      </c>
      <c r="BL122" s="8">
        <v>0</v>
      </c>
      <c r="BM122" s="8">
        <v>0</v>
      </c>
      <c r="BN122" s="8">
        <v>0</v>
      </c>
      <c r="BO122" s="8">
        <v>0</v>
      </c>
      <c r="BP122" s="8">
        <v>0</v>
      </c>
      <c r="BQ122" s="8">
        <v>0</v>
      </c>
      <c r="BR122" s="8">
        <v>0</v>
      </c>
      <c r="BS122" s="8">
        <v>0</v>
      </c>
      <c r="BT122" s="8">
        <v>0</v>
      </c>
      <c r="BU122" s="8">
        <v>0</v>
      </c>
      <c r="BV122" s="8">
        <v>0</v>
      </c>
      <c r="BW122" s="8">
        <v>0</v>
      </c>
      <c r="BX122" s="8">
        <v>0</v>
      </c>
      <c r="BY122" s="8">
        <v>0</v>
      </c>
      <c r="BZ122" s="8">
        <f>SUM(B122:BY122)</f>
        <v>4827.16</v>
      </c>
    </row>
    <row r="123" spans="1:78">
      <c r="A123" s="7" t="s">
        <v>200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8">
        <v>0</v>
      </c>
      <c r="AB123" s="8">
        <v>0</v>
      </c>
      <c r="AC123" s="8">
        <v>0</v>
      </c>
      <c r="AD123" s="8">
        <v>0</v>
      </c>
      <c r="AE123" s="8">
        <v>0</v>
      </c>
      <c r="AF123" s="8">
        <v>0</v>
      </c>
      <c r="AG123" s="8">
        <v>0</v>
      </c>
      <c r="AH123" s="8">
        <v>0</v>
      </c>
      <c r="AI123" s="8">
        <v>0</v>
      </c>
      <c r="AJ123" s="8">
        <v>0</v>
      </c>
      <c r="AK123" s="8">
        <v>0</v>
      </c>
      <c r="AL123" s="8">
        <v>0</v>
      </c>
      <c r="AM123" s="8">
        <v>0</v>
      </c>
      <c r="AN123" s="8">
        <v>0</v>
      </c>
      <c r="AO123" s="8">
        <v>0</v>
      </c>
      <c r="AP123" s="8">
        <v>0</v>
      </c>
      <c r="AQ123" s="8">
        <v>0</v>
      </c>
      <c r="AR123" s="8">
        <v>0</v>
      </c>
      <c r="AS123" s="8">
        <v>0</v>
      </c>
      <c r="AT123" s="8">
        <v>0</v>
      </c>
      <c r="AU123" s="8">
        <v>0</v>
      </c>
      <c r="AV123" s="8">
        <v>0</v>
      </c>
      <c r="AW123" s="8">
        <v>0</v>
      </c>
      <c r="AX123" s="8">
        <v>0</v>
      </c>
      <c r="AY123" s="8">
        <v>0</v>
      </c>
      <c r="AZ123" s="8">
        <v>0</v>
      </c>
      <c r="BA123" s="8">
        <v>2742.66</v>
      </c>
      <c r="BB123" s="8">
        <v>0</v>
      </c>
      <c r="BC123" s="8">
        <v>0</v>
      </c>
      <c r="BD123" s="8">
        <v>0</v>
      </c>
      <c r="BE123" s="8">
        <v>0</v>
      </c>
      <c r="BF123" s="8">
        <v>0</v>
      </c>
      <c r="BG123" s="8">
        <v>0</v>
      </c>
      <c r="BH123" s="8">
        <v>0</v>
      </c>
      <c r="BI123" s="8">
        <v>0</v>
      </c>
      <c r="BJ123" s="8">
        <v>0</v>
      </c>
      <c r="BK123" s="8">
        <v>0</v>
      </c>
      <c r="BL123" s="8">
        <v>0</v>
      </c>
      <c r="BM123" s="8">
        <v>0</v>
      </c>
      <c r="BN123" s="8">
        <v>0</v>
      </c>
      <c r="BO123" s="8">
        <v>0</v>
      </c>
      <c r="BP123" s="8">
        <v>0</v>
      </c>
      <c r="BQ123" s="8">
        <v>0</v>
      </c>
      <c r="BR123" s="8">
        <v>0</v>
      </c>
      <c r="BS123" s="8">
        <v>0</v>
      </c>
      <c r="BT123" s="8">
        <v>0</v>
      </c>
      <c r="BU123" s="8">
        <v>0</v>
      </c>
      <c r="BV123" s="8">
        <v>0</v>
      </c>
      <c r="BW123" s="8">
        <v>0</v>
      </c>
      <c r="BX123" s="8">
        <v>0</v>
      </c>
      <c r="BY123" s="8">
        <v>0</v>
      </c>
      <c r="BZ123" s="8">
        <f>SUM(B123:BY123)</f>
        <v>2742.66</v>
      </c>
    </row>
    <row r="124" spans="1:78">
      <c r="A124" s="9" t="s">
        <v>201</v>
      </c>
      <c r="B124" s="10">
        <f t="shared" ref="B124:BM124" si="48">SUM(B121:B123)</f>
        <v>0</v>
      </c>
      <c r="C124" s="10">
        <f t="shared" si="48"/>
        <v>1387.0700000000002</v>
      </c>
      <c r="D124" s="10">
        <f t="shared" si="48"/>
        <v>322.09000000000003</v>
      </c>
      <c r="E124" s="10">
        <f t="shared" si="48"/>
        <v>117.67</v>
      </c>
      <c r="F124" s="10">
        <f t="shared" si="48"/>
        <v>82.5</v>
      </c>
      <c r="G124" s="10">
        <f t="shared" si="48"/>
        <v>221.86</v>
      </c>
      <c r="H124" s="10">
        <f t="shared" si="48"/>
        <v>173.82999999999998</v>
      </c>
      <c r="I124" s="10">
        <f t="shared" si="48"/>
        <v>0</v>
      </c>
      <c r="J124" s="10">
        <f t="shared" si="48"/>
        <v>492.96</v>
      </c>
      <c r="K124" s="10">
        <f t="shared" si="48"/>
        <v>82.5</v>
      </c>
      <c r="L124" s="10">
        <f t="shared" si="48"/>
        <v>348.83</v>
      </c>
      <c r="M124" s="10">
        <f t="shared" si="48"/>
        <v>0</v>
      </c>
      <c r="N124" s="10">
        <f t="shared" si="48"/>
        <v>435.91</v>
      </c>
      <c r="O124" s="10">
        <f t="shared" si="48"/>
        <v>221.7</v>
      </c>
      <c r="P124" s="10">
        <f t="shared" si="48"/>
        <v>0</v>
      </c>
      <c r="Q124" s="10">
        <f t="shared" si="48"/>
        <v>0</v>
      </c>
      <c r="R124" s="10">
        <f t="shared" si="48"/>
        <v>0</v>
      </c>
      <c r="S124" s="10">
        <f t="shared" si="48"/>
        <v>0</v>
      </c>
      <c r="T124" s="10">
        <f t="shared" si="48"/>
        <v>0</v>
      </c>
      <c r="U124" s="10">
        <f t="shared" si="48"/>
        <v>97.82</v>
      </c>
      <c r="V124" s="10">
        <f t="shared" si="48"/>
        <v>0</v>
      </c>
      <c r="W124" s="10">
        <f t="shared" si="48"/>
        <v>0</v>
      </c>
      <c r="X124" s="10">
        <f t="shared" si="48"/>
        <v>0</v>
      </c>
      <c r="Y124" s="10">
        <f t="shared" si="48"/>
        <v>0</v>
      </c>
      <c r="Z124" s="10">
        <f t="shared" si="48"/>
        <v>38.479999999999997</v>
      </c>
      <c r="AA124" s="10">
        <f t="shared" si="48"/>
        <v>0</v>
      </c>
      <c r="AB124" s="10">
        <f t="shared" si="48"/>
        <v>0</v>
      </c>
      <c r="AC124" s="10">
        <f t="shared" si="48"/>
        <v>0</v>
      </c>
      <c r="AD124" s="10">
        <f t="shared" si="48"/>
        <v>0</v>
      </c>
      <c r="AE124" s="10">
        <f t="shared" si="48"/>
        <v>0</v>
      </c>
      <c r="AF124" s="10">
        <f t="shared" si="48"/>
        <v>2317.08</v>
      </c>
      <c r="AG124" s="10">
        <f t="shared" si="48"/>
        <v>0</v>
      </c>
      <c r="AH124" s="10">
        <f t="shared" si="48"/>
        <v>0</v>
      </c>
      <c r="AI124" s="10">
        <f t="shared" si="48"/>
        <v>0</v>
      </c>
      <c r="AJ124" s="10">
        <f t="shared" si="48"/>
        <v>0</v>
      </c>
      <c r="AK124" s="10">
        <f t="shared" si="48"/>
        <v>0</v>
      </c>
      <c r="AL124" s="10">
        <f t="shared" si="48"/>
        <v>0</v>
      </c>
      <c r="AM124" s="10">
        <f t="shared" si="48"/>
        <v>0</v>
      </c>
      <c r="AN124" s="10">
        <f t="shared" si="48"/>
        <v>0</v>
      </c>
      <c r="AO124" s="10">
        <f t="shared" si="48"/>
        <v>0</v>
      </c>
      <c r="AP124" s="10">
        <f t="shared" si="48"/>
        <v>0</v>
      </c>
      <c r="AQ124" s="10">
        <f t="shared" si="48"/>
        <v>0</v>
      </c>
      <c r="AR124" s="10">
        <f t="shared" si="48"/>
        <v>0</v>
      </c>
      <c r="AS124" s="10">
        <f t="shared" si="48"/>
        <v>0</v>
      </c>
      <c r="AT124" s="10">
        <f t="shared" si="48"/>
        <v>0</v>
      </c>
      <c r="AU124" s="10">
        <f t="shared" si="48"/>
        <v>0</v>
      </c>
      <c r="AV124" s="10">
        <f t="shared" si="48"/>
        <v>0</v>
      </c>
      <c r="AW124" s="10">
        <f t="shared" si="48"/>
        <v>0</v>
      </c>
      <c r="AX124" s="10">
        <f t="shared" si="48"/>
        <v>0</v>
      </c>
      <c r="AY124" s="10">
        <f t="shared" si="48"/>
        <v>0</v>
      </c>
      <c r="AZ124" s="10">
        <f t="shared" si="48"/>
        <v>0</v>
      </c>
      <c r="BA124" s="10">
        <f t="shared" si="48"/>
        <v>2742.66</v>
      </c>
      <c r="BB124" s="10">
        <f t="shared" si="48"/>
        <v>0</v>
      </c>
      <c r="BC124" s="10">
        <f t="shared" si="48"/>
        <v>0</v>
      </c>
      <c r="BD124" s="10">
        <f t="shared" si="48"/>
        <v>0</v>
      </c>
      <c r="BE124" s="10">
        <f t="shared" si="48"/>
        <v>321.25</v>
      </c>
      <c r="BF124" s="10">
        <f t="shared" si="48"/>
        <v>0</v>
      </c>
      <c r="BG124" s="10">
        <f t="shared" si="48"/>
        <v>0</v>
      </c>
      <c r="BH124" s="10">
        <f t="shared" si="48"/>
        <v>0</v>
      </c>
      <c r="BI124" s="10">
        <f t="shared" si="48"/>
        <v>0</v>
      </c>
      <c r="BJ124" s="10">
        <f t="shared" si="48"/>
        <v>0</v>
      </c>
      <c r="BK124" s="10">
        <f t="shared" si="48"/>
        <v>0</v>
      </c>
      <c r="BL124" s="10">
        <f t="shared" si="48"/>
        <v>0</v>
      </c>
      <c r="BM124" s="10">
        <f t="shared" si="48"/>
        <v>0</v>
      </c>
      <c r="BN124" s="10">
        <f t="shared" ref="BN124:BZ124" si="49">SUM(BN121:BN123)</f>
        <v>0</v>
      </c>
      <c r="BO124" s="10">
        <f t="shared" si="49"/>
        <v>0</v>
      </c>
      <c r="BP124" s="10">
        <f t="shared" si="49"/>
        <v>0</v>
      </c>
      <c r="BQ124" s="10">
        <f t="shared" si="49"/>
        <v>0</v>
      </c>
      <c r="BR124" s="10">
        <f t="shared" si="49"/>
        <v>0</v>
      </c>
      <c r="BS124" s="10">
        <f t="shared" si="49"/>
        <v>0</v>
      </c>
      <c r="BT124" s="10">
        <f t="shared" si="49"/>
        <v>0</v>
      </c>
      <c r="BU124" s="10">
        <f t="shared" si="49"/>
        <v>0</v>
      </c>
      <c r="BV124" s="10">
        <f t="shared" si="49"/>
        <v>0</v>
      </c>
      <c r="BW124" s="10">
        <f t="shared" si="49"/>
        <v>0</v>
      </c>
      <c r="BX124" s="10">
        <f t="shared" si="49"/>
        <v>0</v>
      </c>
      <c r="BY124" s="10">
        <f t="shared" si="49"/>
        <v>0</v>
      </c>
      <c r="BZ124" s="10">
        <f t="shared" si="49"/>
        <v>9404.2099999999991</v>
      </c>
    </row>
    <row r="125" spans="1:78">
      <c r="A125" s="6" t="s">
        <v>202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</row>
    <row r="126" spans="1:78">
      <c r="A126" s="7" t="s">
        <v>203</v>
      </c>
      <c r="B126" s="8">
        <v>0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8">
        <v>0</v>
      </c>
      <c r="AC126" s="8">
        <v>0</v>
      </c>
      <c r="AD126" s="8">
        <v>0</v>
      </c>
      <c r="AE126" s="8">
        <v>4035.17</v>
      </c>
      <c r="AF126" s="8">
        <v>0</v>
      </c>
      <c r="AG126" s="8">
        <v>0</v>
      </c>
      <c r="AH126" s="8">
        <v>21590.080000000002</v>
      </c>
      <c r="AI126" s="8">
        <v>0</v>
      </c>
      <c r="AJ126" s="8">
        <v>0</v>
      </c>
      <c r="AK126" s="8">
        <v>0</v>
      </c>
      <c r="AL126" s="8">
        <v>0</v>
      </c>
      <c r="AM126" s="8">
        <v>100</v>
      </c>
      <c r="AN126" s="8">
        <v>0</v>
      </c>
      <c r="AO126" s="8">
        <v>0</v>
      </c>
      <c r="AP126" s="8">
        <v>0</v>
      </c>
      <c r="AQ126" s="8">
        <v>10936.65</v>
      </c>
      <c r="AR126" s="8">
        <v>0</v>
      </c>
      <c r="AS126" s="8">
        <v>0</v>
      </c>
      <c r="AT126" s="8">
        <v>0</v>
      </c>
      <c r="AU126" s="8">
        <v>0</v>
      </c>
      <c r="AV126" s="8">
        <v>0</v>
      </c>
      <c r="AW126" s="8">
        <v>0</v>
      </c>
      <c r="AX126" s="8">
        <v>0</v>
      </c>
      <c r="AY126" s="8">
        <v>0</v>
      </c>
      <c r="AZ126" s="8">
        <v>0</v>
      </c>
      <c r="BA126" s="8">
        <v>7090.37</v>
      </c>
      <c r="BB126" s="8">
        <v>0</v>
      </c>
      <c r="BC126" s="8">
        <v>0</v>
      </c>
      <c r="BD126" s="8">
        <v>0</v>
      </c>
      <c r="BE126" s="8">
        <v>0</v>
      </c>
      <c r="BF126" s="8">
        <v>48100</v>
      </c>
      <c r="BG126" s="8">
        <v>14434.01</v>
      </c>
      <c r="BH126" s="8">
        <v>928.13</v>
      </c>
      <c r="BI126" s="8">
        <v>0</v>
      </c>
      <c r="BJ126" s="8">
        <v>0</v>
      </c>
      <c r="BK126" s="8">
        <v>0</v>
      </c>
      <c r="BL126" s="8">
        <v>0</v>
      </c>
      <c r="BM126" s="8">
        <v>0</v>
      </c>
      <c r="BN126" s="8">
        <v>0</v>
      </c>
      <c r="BO126" s="8">
        <v>0</v>
      </c>
      <c r="BP126" s="8">
        <v>0</v>
      </c>
      <c r="BQ126" s="8">
        <v>0</v>
      </c>
      <c r="BR126" s="8">
        <v>0</v>
      </c>
      <c r="BS126" s="8">
        <v>0</v>
      </c>
      <c r="BT126" s="8">
        <v>0</v>
      </c>
      <c r="BU126" s="8">
        <v>0</v>
      </c>
      <c r="BV126" s="8">
        <v>0</v>
      </c>
      <c r="BW126" s="8">
        <v>0</v>
      </c>
      <c r="BX126" s="8">
        <v>0</v>
      </c>
      <c r="BY126" s="8">
        <v>0</v>
      </c>
      <c r="BZ126" s="8">
        <f t="shared" ref="BZ126:BZ132" si="50">SUM(B126:BY126)</f>
        <v>107214.41</v>
      </c>
    </row>
    <row r="127" spans="1:78">
      <c r="A127" s="7" t="s">
        <v>204</v>
      </c>
      <c r="B127" s="8">
        <v>0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89.81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8">
        <v>0</v>
      </c>
      <c r="AH127" s="8">
        <v>0</v>
      </c>
      <c r="AI127" s="8">
        <v>0</v>
      </c>
      <c r="AJ127" s="8">
        <v>0</v>
      </c>
      <c r="AK127" s="8">
        <v>0</v>
      </c>
      <c r="AL127" s="8">
        <v>0</v>
      </c>
      <c r="AM127" s="8">
        <v>0</v>
      </c>
      <c r="AN127" s="8">
        <v>0</v>
      </c>
      <c r="AO127" s="8">
        <v>0</v>
      </c>
      <c r="AP127" s="8">
        <v>0</v>
      </c>
      <c r="AQ127" s="8">
        <v>0</v>
      </c>
      <c r="AR127" s="8">
        <v>0</v>
      </c>
      <c r="AS127" s="8">
        <v>0</v>
      </c>
      <c r="AT127" s="8">
        <v>0</v>
      </c>
      <c r="AU127" s="8">
        <v>0</v>
      </c>
      <c r="AV127" s="8">
        <v>0</v>
      </c>
      <c r="AW127" s="8">
        <v>0</v>
      </c>
      <c r="AX127" s="8">
        <v>0</v>
      </c>
      <c r="AY127" s="8">
        <v>0</v>
      </c>
      <c r="AZ127" s="8">
        <v>0</v>
      </c>
      <c r="BA127" s="8">
        <v>0</v>
      </c>
      <c r="BB127" s="8">
        <v>0</v>
      </c>
      <c r="BC127" s="8">
        <v>0</v>
      </c>
      <c r="BD127" s="8">
        <v>0</v>
      </c>
      <c r="BE127" s="8">
        <v>0</v>
      </c>
      <c r="BF127" s="8">
        <v>0</v>
      </c>
      <c r="BG127" s="8">
        <v>0</v>
      </c>
      <c r="BH127" s="8">
        <v>0</v>
      </c>
      <c r="BI127" s="8">
        <v>0</v>
      </c>
      <c r="BJ127" s="8">
        <v>0</v>
      </c>
      <c r="BK127" s="8">
        <v>0</v>
      </c>
      <c r="BL127" s="8">
        <v>0</v>
      </c>
      <c r="BM127" s="8">
        <v>0</v>
      </c>
      <c r="BN127" s="8">
        <v>0</v>
      </c>
      <c r="BO127" s="8">
        <v>0</v>
      </c>
      <c r="BP127" s="8">
        <v>0</v>
      </c>
      <c r="BQ127" s="8">
        <v>0</v>
      </c>
      <c r="BR127" s="8">
        <v>0</v>
      </c>
      <c r="BS127" s="8">
        <v>0</v>
      </c>
      <c r="BT127" s="8">
        <v>0</v>
      </c>
      <c r="BU127" s="8">
        <v>0</v>
      </c>
      <c r="BV127" s="8">
        <v>0</v>
      </c>
      <c r="BW127" s="8">
        <v>0</v>
      </c>
      <c r="BX127" s="8">
        <v>0</v>
      </c>
      <c r="BY127" s="8">
        <v>0</v>
      </c>
      <c r="BZ127" s="8">
        <f t="shared" si="50"/>
        <v>89.81</v>
      </c>
    </row>
    <row r="128" spans="1:78">
      <c r="A128" s="7" t="s">
        <v>205</v>
      </c>
      <c r="B128" s="8">
        <v>0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1388.61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8">
        <v>0</v>
      </c>
      <c r="AB128" s="8">
        <v>0</v>
      </c>
      <c r="AC128" s="8">
        <v>0</v>
      </c>
      <c r="AD128" s="8">
        <v>0</v>
      </c>
      <c r="AE128" s="8">
        <v>0</v>
      </c>
      <c r="AF128" s="8">
        <v>0</v>
      </c>
      <c r="AG128" s="8">
        <v>0</v>
      </c>
      <c r="AH128" s="8">
        <v>0</v>
      </c>
      <c r="AI128" s="8">
        <v>0</v>
      </c>
      <c r="AJ128" s="8">
        <v>0</v>
      </c>
      <c r="AK128" s="8">
        <v>0</v>
      </c>
      <c r="AL128" s="8">
        <v>0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0</v>
      </c>
      <c r="AS128" s="8">
        <v>0</v>
      </c>
      <c r="AT128" s="8">
        <v>0</v>
      </c>
      <c r="AU128" s="8">
        <v>0</v>
      </c>
      <c r="AV128" s="8">
        <v>0</v>
      </c>
      <c r="AW128" s="8">
        <v>0</v>
      </c>
      <c r="AX128" s="8">
        <v>0</v>
      </c>
      <c r="AY128" s="8">
        <v>0</v>
      </c>
      <c r="AZ128" s="8">
        <v>0</v>
      </c>
      <c r="BA128" s="8">
        <v>0</v>
      </c>
      <c r="BB128" s="8">
        <v>0</v>
      </c>
      <c r="BC128" s="8">
        <v>0</v>
      </c>
      <c r="BD128" s="8">
        <v>0</v>
      </c>
      <c r="BE128" s="8">
        <v>0</v>
      </c>
      <c r="BF128" s="8">
        <v>0</v>
      </c>
      <c r="BG128" s="8">
        <v>0</v>
      </c>
      <c r="BH128" s="8">
        <v>0</v>
      </c>
      <c r="BI128" s="8">
        <v>0</v>
      </c>
      <c r="BJ128" s="8">
        <v>0</v>
      </c>
      <c r="BK128" s="8">
        <v>0</v>
      </c>
      <c r="BL128" s="8">
        <v>0</v>
      </c>
      <c r="BM128" s="8">
        <v>0</v>
      </c>
      <c r="BN128" s="8">
        <v>0</v>
      </c>
      <c r="BO128" s="8">
        <v>0</v>
      </c>
      <c r="BP128" s="8">
        <v>0</v>
      </c>
      <c r="BQ128" s="8">
        <v>0</v>
      </c>
      <c r="BR128" s="8">
        <v>0</v>
      </c>
      <c r="BS128" s="8">
        <v>0</v>
      </c>
      <c r="BT128" s="8">
        <v>0</v>
      </c>
      <c r="BU128" s="8">
        <v>0</v>
      </c>
      <c r="BV128" s="8">
        <v>0</v>
      </c>
      <c r="BW128" s="8">
        <v>0</v>
      </c>
      <c r="BX128" s="8">
        <v>0</v>
      </c>
      <c r="BY128" s="8">
        <v>0</v>
      </c>
      <c r="BZ128" s="8">
        <f t="shared" si="50"/>
        <v>1388.61</v>
      </c>
    </row>
    <row r="129" spans="1:78">
      <c r="A129" s="7" t="s">
        <v>206</v>
      </c>
      <c r="B129" s="8">
        <v>0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761.53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8">
        <v>0</v>
      </c>
      <c r="AB129" s="8">
        <v>0</v>
      </c>
      <c r="AC129" s="8">
        <v>0</v>
      </c>
      <c r="AD129" s="8">
        <v>0</v>
      </c>
      <c r="AE129" s="8">
        <v>0</v>
      </c>
      <c r="AF129" s="8">
        <v>0</v>
      </c>
      <c r="AG129" s="8">
        <v>0</v>
      </c>
      <c r="AH129" s="8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>
        <v>0</v>
      </c>
      <c r="AX129" s="8">
        <v>0</v>
      </c>
      <c r="AY129" s="8">
        <v>0</v>
      </c>
      <c r="AZ129" s="8">
        <v>0</v>
      </c>
      <c r="BA129" s="8">
        <v>0</v>
      </c>
      <c r="BB129" s="8">
        <v>0</v>
      </c>
      <c r="BC129" s="8">
        <v>0</v>
      </c>
      <c r="BD129" s="8">
        <v>0</v>
      </c>
      <c r="BE129" s="8">
        <v>0</v>
      </c>
      <c r="BF129" s="8">
        <v>0</v>
      </c>
      <c r="BG129" s="8">
        <v>0</v>
      </c>
      <c r="BH129" s="8">
        <v>0</v>
      </c>
      <c r="BI129" s="8">
        <v>0</v>
      </c>
      <c r="BJ129" s="8">
        <v>0</v>
      </c>
      <c r="BK129" s="8">
        <v>0</v>
      </c>
      <c r="BL129" s="8">
        <v>0</v>
      </c>
      <c r="BM129" s="8">
        <v>0</v>
      </c>
      <c r="BN129" s="8">
        <v>0</v>
      </c>
      <c r="BO129" s="8">
        <v>0</v>
      </c>
      <c r="BP129" s="8">
        <v>0</v>
      </c>
      <c r="BQ129" s="8">
        <v>0</v>
      </c>
      <c r="BR129" s="8">
        <v>0</v>
      </c>
      <c r="BS129" s="8">
        <v>0</v>
      </c>
      <c r="BT129" s="8">
        <v>0</v>
      </c>
      <c r="BU129" s="8">
        <v>0</v>
      </c>
      <c r="BV129" s="8">
        <v>0</v>
      </c>
      <c r="BW129" s="8">
        <v>0</v>
      </c>
      <c r="BX129" s="8">
        <v>0</v>
      </c>
      <c r="BY129" s="8">
        <v>0</v>
      </c>
      <c r="BZ129" s="8">
        <f t="shared" si="50"/>
        <v>761.53</v>
      </c>
    </row>
    <row r="130" spans="1:78">
      <c r="A130" s="7" t="s">
        <v>207</v>
      </c>
      <c r="B130" s="8">
        <v>0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8">
        <v>0</v>
      </c>
      <c r="AB130" s="8">
        <v>0</v>
      </c>
      <c r="AC130" s="8">
        <v>0</v>
      </c>
      <c r="AD130" s="8">
        <v>0</v>
      </c>
      <c r="AE130" s="8">
        <v>0</v>
      </c>
      <c r="AF130" s="8">
        <v>0</v>
      </c>
      <c r="AG130" s="8">
        <v>0</v>
      </c>
      <c r="AH130" s="8">
        <v>0</v>
      </c>
      <c r="AI130" s="8">
        <v>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11899.33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0</v>
      </c>
      <c r="AX130" s="8">
        <v>0</v>
      </c>
      <c r="AY130" s="8">
        <v>0</v>
      </c>
      <c r="AZ130" s="8">
        <v>0</v>
      </c>
      <c r="BA130" s="8">
        <v>0</v>
      </c>
      <c r="BB130" s="8">
        <v>0</v>
      </c>
      <c r="BC130" s="8">
        <v>0</v>
      </c>
      <c r="BD130" s="8">
        <v>0</v>
      </c>
      <c r="BE130" s="8">
        <v>0</v>
      </c>
      <c r="BF130" s="8">
        <v>0</v>
      </c>
      <c r="BG130" s="8">
        <v>0</v>
      </c>
      <c r="BH130" s="8">
        <v>0</v>
      </c>
      <c r="BI130" s="8">
        <v>0</v>
      </c>
      <c r="BJ130" s="8">
        <v>0</v>
      </c>
      <c r="BK130" s="8">
        <v>0</v>
      </c>
      <c r="BL130" s="8">
        <v>0</v>
      </c>
      <c r="BM130" s="8">
        <v>0</v>
      </c>
      <c r="BN130" s="8">
        <v>0</v>
      </c>
      <c r="BO130" s="8">
        <v>0</v>
      </c>
      <c r="BP130" s="8">
        <v>0</v>
      </c>
      <c r="BQ130" s="8">
        <v>0</v>
      </c>
      <c r="BR130" s="8">
        <v>0</v>
      </c>
      <c r="BS130" s="8">
        <v>0</v>
      </c>
      <c r="BT130" s="8">
        <v>0</v>
      </c>
      <c r="BU130" s="8">
        <v>0</v>
      </c>
      <c r="BV130" s="8">
        <v>0</v>
      </c>
      <c r="BW130" s="8">
        <v>0</v>
      </c>
      <c r="BX130" s="8">
        <v>0</v>
      </c>
      <c r="BY130" s="8">
        <v>0</v>
      </c>
      <c r="BZ130" s="8">
        <f t="shared" si="50"/>
        <v>11899.33</v>
      </c>
    </row>
    <row r="131" spans="1:78">
      <c r="A131" s="7" t="s">
        <v>208</v>
      </c>
      <c r="B131" s="8">
        <v>0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8">
        <v>0</v>
      </c>
      <c r="AB131" s="8">
        <v>0</v>
      </c>
      <c r="AC131" s="8">
        <v>0</v>
      </c>
      <c r="AD131" s="8">
        <v>0</v>
      </c>
      <c r="AE131" s="8">
        <v>0</v>
      </c>
      <c r="AF131" s="8">
        <v>85.06</v>
      </c>
      <c r="AG131" s="8">
        <v>61.59</v>
      </c>
      <c r="AH131" s="8">
        <v>0</v>
      </c>
      <c r="AI131" s="8">
        <v>0</v>
      </c>
      <c r="AJ131" s="8">
        <v>0</v>
      </c>
      <c r="AK131" s="8">
        <v>0</v>
      </c>
      <c r="AL131" s="8">
        <v>0</v>
      </c>
      <c r="AM131" s="8">
        <v>0</v>
      </c>
      <c r="AN131" s="8">
        <v>0</v>
      </c>
      <c r="AO131" s="8">
        <v>0</v>
      </c>
      <c r="AP131" s="8">
        <v>0</v>
      </c>
      <c r="AQ131" s="8">
        <v>0</v>
      </c>
      <c r="AR131" s="8">
        <v>0</v>
      </c>
      <c r="AS131" s="8">
        <v>0</v>
      </c>
      <c r="AT131" s="8">
        <v>0</v>
      </c>
      <c r="AU131" s="8">
        <v>0</v>
      </c>
      <c r="AV131" s="8">
        <v>0</v>
      </c>
      <c r="AW131" s="8">
        <v>0</v>
      </c>
      <c r="AX131" s="8">
        <v>0</v>
      </c>
      <c r="AY131" s="8">
        <v>0</v>
      </c>
      <c r="AZ131" s="8">
        <v>0</v>
      </c>
      <c r="BA131" s="8">
        <v>0</v>
      </c>
      <c r="BB131" s="8">
        <v>0</v>
      </c>
      <c r="BC131" s="8">
        <v>0</v>
      </c>
      <c r="BD131" s="8">
        <v>0</v>
      </c>
      <c r="BE131" s="8">
        <v>0</v>
      </c>
      <c r="BF131" s="8">
        <v>0</v>
      </c>
      <c r="BG131" s="8">
        <v>0</v>
      </c>
      <c r="BH131" s="8">
        <v>0</v>
      </c>
      <c r="BI131" s="8">
        <v>0</v>
      </c>
      <c r="BJ131" s="8">
        <v>0</v>
      </c>
      <c r="BK131" s="8">
        <v>0</v>
      </c>
      <c r="BL131" s="8">
        <v>0</v>
      </c>
      <c r="BM131" s="8">
        <v>0</v>
      </c>
      <c r="BN131" s="8">
        <v>0</v>
      </c>
      <c r="BO131" s="8">
        <v>0</v>
      </c>
      <c r="BP131" s="8">
        <v>0</v>
      </c>
      <c r="BQ131" s="8">
        <v>0</v>
      </c>
      <c r="BR131" s="8">
        <v>0</v>
      </c>
      <c r="BS131" s="8">
        <v>0</v>
      </c>
      <c r="BT131" s="8">
        <v>0</v>
      </c>
      <c r="BU131" s="8">
        <v>0</v>
      </c>
      <c r="BV131" s="8">
        <v>0</v>
      </c>
      <c r="BW131" s="8">
        <v>0</v>
      </c>
      <c r="BX131" s="8">
        <v>0</v>
      </c>
      <c r="BY131" s="8">
        <v>0</v>
      </c>
      <c r="BZ131" s="8">
        <f t="shared" si="50"/>
        <v>146.65</v>
      </c>
    </row>
    <row r="132" spans="1:78">
      <c r="A132" s="7" t="s">
        <v>209</v>
      </c>
      <c r="B132" s="8">
        <v>0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8">
        <v>0</v>
      </c>
      <c r="AB132" s="8">
        <v>0</v>
      </c>
      <c r="AC132" s="8">
        <v>0</v>
      </c>
      <c r="AD132" s="8">
        <v>0</v>
      </c>
      <c r="AE132" s="8">
        <v>0</v>
      </c>
      <c r="AF132" s="8">
        <v>38634.449999999997</v>
      </c>
      <c r="AG132" s="8">
        <v>14879.85</v>
      </c>
      <c r="AH132" s="8">
        <v>0</v>
      </c>
      <c r="AI132" s="8">
        <v>0</v>
      </c>
      <c r="AJ132" s="8">
        <v>0</v>
      </c>
      <c r="AK132" s="8">
        <v>0</v>
      </c>
      <c r="AL132" s="8">
        <v>0</v>
      </c>
      <c r="AM132" s="8">
        <v>0</v>
      </c>
      <c r="AN132" s="8">
        <v>0</v>
      </c>
      <c r="AO132" s="8">
        <v>0</v>
      </c>
      <c r="AP132" s="8">
        <v>0</v>
      </c>
      <c r="AQ132" s="8">
        <v>0</v>
      </c>
      <c r="AR132" s="8">
        <v>0</v>
      </c>
      <c r="AS132" s="8">
        <v>0</v>
      </c>
      <c r="AT132" s="8">
        <v>0</v>
      </c>
      <c r="AU132" s="8">
        <v>0</v>
      </c>
      <c r="AV132" s="8">
        <v>0</v>
      </c>
      <c r="AW132" s="8">
        <v>0</v>
      </c>
      <c r="AX132" s="8">
        <v>0</v>
      </c>
      <c r="AY132" s="8">
        <v>0</v>
      </c>
      <c r="AZ132" s="8">
        <v>0</v>
      </c>
      <c r="BA132" s="8">
        <v>0</v>
      </c>
      <c r="BB132" s="8">
        <v>0</v>
      </c>
      <c r="BC132" s="8">
        <v>0</v>
      </c>
      <c r="BD132" s="8">
        <v>0</v>
      </c>
      <c r="BE132" s="8">
        <v>0</v>
      </c>
      <c r="BF132" s="8">
        <v>0</v>
      </c>
      <c r="BG132" s="8">
        <v>0</v>
      </c>
      <c r="BH132" s="8">
        <v>0</v>
      </c>
      <c r="BI132" s="8">
        <v>0</v>
      </c>
      <c r="BJ132" s="8">
        <v>0</v>
      </c>
      <c r="BK132" s="8">
        <v>0</v>
      </c>
      <c r="BL132" s="8">
        <v>0</v>
      </c>
      <c r="BM132" s="8">
        <v>0</v>
      </c>
      <c r="BN132" s="8">
        <v>0</v>
      </c>
      <c r="BO132" s="8">
        <v>0</v>
      </c>
      <c r="BP132" s="8">
        <v>0</v>
      </c>
      <c r="BQ132" s="8">
        <v>0</v>
      </c>
      <c r="BR132" s="8">
        <v>0</v>
      </c>
      <c r="BS132" s="8">
        <v>0</v>
      </c>
      <c r="BT132" s="8">
        <v>0</v>
      </c>
      <c r="BU132" s="8">
        <v>0</v>
      </c>
      <c r="BV132" s="8">
        <v>0</v>
      </c>
      <c r="BW132" s="8">
        <v>0</v>
      </c>
      <c r="BX132" s="8">
        <v>0</v>
      </c>
      <c r="BY132" s="8">
        <v>0</v>
      </c>
      <c r="BZ132" s="8">
        <f t="shared" si="50"/>
        <v>53514.299999999996</v>
      </c>
    </row>
    <row r="133" spans="1:78">
      <c r="A133" s="9" t="s">
        <v>210</v>
      </c>
      <c r="B133" s="10">
        <f t="shared" ref="B133:BM133" si="51">SUM(B126:B132)</f>
        <v>0</v>
      </c>
      <c r="C133" s="10">
        <f t="shared" si="51"/>
        <v>0</v>
      </c>
      <c r="D133" s="10">
        <f t="shared" si="51"/>
        <v>0</v>
      </c>
      <c r="E133" s="10">
        <f t="shared" si="51"/>
        <v>0</v>
      </c>
      <c r="F133" s="10">
        <f t="shared" si="51"/>
        <v>0</v>
      </c>
      <c r="G133" s="10">
        <f t="shared" si="51"/>
        <v>0</v>
      </c>
      <c r="H133" s="10">
        <f t="shared" si="51"/>
        <v>0</v>
      </c>
      <c r="I133" s="10">
        <f t="shared" si="51"/>
        <v>0</v>
      </c>
      <c r="J133" s="10">
        <f t="shared" si="51"/>
        <v>0</v>
      </c>
      <c r="K133" s="10">
        <f t="shared" si="51"/>
        <v>0</v>
      </c>
      <c r="L133" s="10">
        <f t="shared" si="51"/>
        <v>0</v>
      </c>
      <c r="M133" s="10">
        <f t="shared" si="51"/>
        <v>0</v>
      </c>
      <c r="N133" s="10">
        <f t="shared" si="51"/>
        <v>2239.9499999999998</v>
      </c>
      <c r="O133" s="10">
        <f t="shared" si="51"/>
        <v>0</v>
      </c>
      <c r="P133" s="10">
        <f t="shared" si="51"/>
        <v>0</v>
      </c>
      <c r="Q133" s="10">
        <f t="shared" si="51"/>
        <v>0</v>
      </c>
      <c r="R133" s="10">
        <f t="shared" si="51"/>
        <v>0</v>
      </c>
      <c r="S133" s="10">
        <f t="shared" si="51"/>
        <v>0</v>
      </c>
      <c r="T133" s="10">
        <f t="shared" si="51"/>
        <v>0</v>
      </c>
      <c r="U133" s="10">
        <f t="shared" si="51"/>
        <v>0</v>
      </c>
      <c r="V133" s="10">
        <f t="shared" si="51"/>
        <v>0</v>
      </c>
      <c r="W133" s="10">
        <f t="shared" si="51"/>
        <v>0</v>
      </c>
      <c r="X133" s="10">
        <f t="shared" si="51"/>
        <v>0</v>
      </c>
      <c r="Y133" s="10">
        <f t="shared" si="51"/>
        <v>0</v>
      </c>
      <c r="Z133" s="10">
        <f t="shared" si="51"/>
        <v>0</v>
      </c>
      <c r="AA133" s="10">
        <f t="shared" si="51"/>
        <v>0</v>
      </c>
      <c r="AB133" s="10">
        <f t="shared" si="51"/>
        <v>0</v>
      </c>
      <c r="AC133" s="10">
        <f t="shared" si="51"/>
        <v>0</v>
      </c>
      <c r="AD133" s="10">
        <f t="shared" si="51"/>
        <v>0</v>
      </c>
      <c r="AE133" s="10">
        <f t="shared" si="51"/>
        <v>4035.17</v>
      </c>
      <c r="AF133" s="10">
        <f t="shared" si="51"/>
        <v>38719.509999999995</v>
      </c>
      <c r="AG133" s="10">
        <f t="shared" si="51"/>
        <v>14941.44</v>
      </c>
      <c r="AH133" s="10">
        <f t="shared" si="51"/>
        <v>21590.080000000002</v>
      </c>
      <c r="AI133" s="10">
        <f t="shared" si="51"/>
        <v>0</v>
      </c>
      <c r="AJ133" s="10">
        <f t="shared" si="51"/>
        <v>0</v>
      </c>
      <c r="AK133" s="10">
        <f t="shared" si="51"/>
        <v>0</v>
      </c>
      <c r="AL133" s="10">
        <f t="shared" si="51"/>
        <v>0</v>
      </c>
      <c r="AM133" s="10">
        <f t="shared" si="51"/>
        <v>100</v>
      </c>
      <c r="AN133" s="10">
        <f t="shared" si="51"/>
        <v>0</v>
      </c>
      <c r="AO133" s="10">
        <f t="shared" si="51"/>
        <v>0</v>
      </c>
      <c r="AP133" s="10">
        <f t="shared" si="51"/>
        <v>0</v>
      </c>
      <c r="AQ133" s="10">
        <f t="shared" si="51"/>
        <v>22835.98</v>
      </c>
      <c r="AR133" s="10">
        <f t="shared" si="51"/>
        <v>0</v>
      </c>
      <c r="AS133" s="10">
        <f t="shared" si="51"/>
        <v>0</v>
      </c>
      <c r="AT133" s="10">
        <f t="shared" si="51"/>
        <v>0</v>
      </c>
      <c r="AU133" s="10">
        <f t="shared" si="51"/>
        <v>0</v>
      </c>
      <c r="AV133" s="10">
        <f t="shared" si="51"/>
        <v>0</v>
      </c>
      <c r="AW133" s="10">
        <f t="shared" si="51"/>
        <v>0</v>
      </c>
      <c r="AX133" s="10">
        <f t="shared" si="51"/>
        <v>0</v>
      </c>
      <c r="AY133" s="10">
        <f t="shared" si="51"/>
        <v>0</v>
      </c>
      <c r="AZ133" s="10">
        <f t="shared" si="51"/>
        <v>0</v>
      </c>
      <c r="BA133" s="10">
        <f t="shared" si="51"/>
        <v>7090.37</v>
      </c>
      <c r="BB133" s="10">
        <f t="shared" si="51"/>
        <v>0</v>
      </c>
      <c r="BC133" s="10">
        <f t="shared" si="51"/>
        <v>0</v>
      </c>
      <c r="BD133" s="10">
        <f t="shared" si="51"/>
        <v>0</v>
      </c>
      <c r="BE133" s="10">
        <f t="shared" si="51"/>
        <v>0</v>
      </c>
      <c r="BF133" s="10">
        <f t="shared" si="51"/>
        <v>48100</v>
      </c>
      <c r="BG133" s="10">
        <f t="shared" si="51"/>
        <v>14434.01</v>
      </c>
      <c r="BH133" s="10">
        <f t="shared" si="51"/>
        <v>928.13</v>
      </c>
      <c r="BI133" s="10">
        <f t="shared" si="51"/>
        <v>0</v>
      </c>
      <c r="BJ133" s="10">
        <f t="shared" si="51"/>
        <v>0</v>
      </c>
      <c r="BK133" s="10">
        <f t="shared" si="51"/>
        <v>0</v>
      </c>
      <c r="BL133" s="10">
        <f t="shared" si="51"/>
        <v>0</v>
      </c>
      <c r="BM133" s="10">
        <f t="shared" si="51"/>
        <v>0</v>
      </c>
      <c r="BN133" s="10">
        <f t="shared" ref="BN133:BZ133" si="52">SUM(BN126:BN132)</f>
        <v>0</v>
      </c>
      <c r="BO133" s="10">
        <f t="shared" si="52"/>
        <v>0</v>
      </c>
      <c r="BP133" s="10">
        <f t="shared" si="52"/>
        <v>0</v>
      </c>
      <c r="BQ133" s="10">
        <f t="shared" si="52"/>
        <v>0</v>
      </c>
      <c r="BR133" s="10">
        <f t="shared" si="52"/>
        <v>0</v>
      </c>
      <c r="BS133" s="10">
        <f t="shared" si="52"/>
        <v>0</v>
      </c>
      <c r="BT133" s="10">
        <f t="shared" si="52"/>
        <v>0</v>
      </c>
      <c r="BU133" s="10">
        <f t="shared" si="52"/>
        <v>0</v>
      </c>
      <c r="BV133" s="10">
        <f t="shared" si="52"/>
        <v>0</v>
      </c>
      <c r="BW133" s="10">
        <f t="shared" si="52"/>
        <v>0</v>
      </c>
      <c r="BX133" s="10">
        <f t="shared" si="52"/>
        <v>0</v>
      </c>
      <c r="BY133" s="10">
        <f t="shared" si="52"/>
        <v>0</v>
      </c>
      <c r="BZ133" s="10">
        <f t="shared" si="52"/>
        <v>175014.63999999998</v>
      </c>
    </row>
    <row r="134" spans="1:78">
      <c r="A134" s="11" t="s">
        <v>211</v>
      </c>
      <c r="B134" s="8">
        <v>0</v>
      </c>
      <c r="C134" s="8">
        <v>102.9</v>
      </c>
      <c r="D134" s="8">
        <v>0</v>
      </c>
      <c r="E134" s="8">
        <v>0</v>
      </c>
      <c r="F134" s="8">
        <v>0</v>
      </c>
      <c r="G134" s="8">
        <v>832.93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326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8">
        <v>0</v>
      </c>
      <c r="AC134" s="8">
        <v>0</v>
      </c>
      <c r="AD134" s="8">
        <v>0</v>
      </c>
      <c r="AE134" s="8">
        <v>0</v>
      </c>
      <c r="AF134" s="8">
        <v>0</v>
      </c>
      <c r="AG134" s="8">
        <v>0</v>
      </c>
      <c r="AH134" s="8">
        <v>0</v>
      </c>
      <c r="AI134" s="8">
        <v>0</v>
      </c>
      <c r="AJ134" s="8">
        <v>0</v>
      </c>
      <c r="AK134" s="8">
        <v>0</v>
      </c>
      <c r="AL134" s="8">
        <v>0</v>
      </c>
      <c r="AM134" s="8">
        <v>0</v>
      </c>
      <c r="AN134" s="8">
        <v>0</v>
      </c>
      <c r="AO134" s="8">
        <v>0</v>
      </c>
      <c r="AP134" s="8">
        <v>0</v>
      </c>
      <c r="AQ134" s="8">
        <v>0</v>
      </c>
      <c r="AR134" s="8">
        <v>0</v>
      </c>
      <c r="AS134" s="8">
        <v>0</v>
      </c>
      <c r="AT134" s="8">
        <v>0</v>
      </c>
      <c r="AU134" s="8">
        <v>0</v>
      </c>
      <c r="AV134" s="8">
        <v>0</v>
      </c>
      <c r="AW134" s="8">
        <v>0</v>
      </c>
      <c r="AX134" s="8">
        <v>0</v>
      </c>
      <c r="AY134" s="8">
        <v>0</v>
      </c>
      <c r="AZ134" s="8">
        <v>0</v>
      </c>
      <c r="BA134" s="8">
        <v>0</v>
      </c>
      <c r="BB134" s="8">
        <v>0</v>
      </c>
      <c r="BC134" s="8">
        <v>0</v>
      </c>
      <c r="BD134" s="8">
        <v>0</v>
      </c>
      <c r="BE134" s="8">
        <v>0</v>
      </c>
      <c r="BF134" s="8">
        <v>0</v>
      </c>
      <c r="BG134" s="8">
        <v>0</v>
      </c>
      <c r="BH134" s="8">
        <v>0</v>
      </c>
      <c r="BI134" s="8">
        <v>0</v>
      </c>
      <c r="BJ134" s="8">
        <v>0</v>
      </c>
      <c r="BK134" s="8">
        <v>0</v>
      </c>
      <c r="BL134" s="8">
        <v>0</v>
      </c>
      <c r="BM134" s="8">
        <v>0</v>
      </c>
      <c r="BN134" s="8">
        <v>0</v>
      </c>
      <c r="BO134" s="8">
        <v>0</v>
      </c>
      <c r="BP134" s="8">
        <v>0</v>
      </c>
      <c r="BQ134" s="8">
        <v>0</v>
      </c>
      <c r="BR134" s="8">
        <v>0</v>
      </c>
      <c r="BS134" s="8">
        <v>0</v>
      </c>
      <c r="BT134" s="8">
        <v>0</v>
      </c>
      <c r="BU134" s="8">
        <v>0</v>
      </c>
      <c r="BV134" s="8">
        <v>0</v>
      </c>
      <c r="BW134" s="8">
        <v>0</v>
      </c>
      <c r="BX134" s="8">
        <v>0</v>
      </c>
      <c r="BY134" s="8">
        <v>0</v>
      </c>
      <c r="BZ134" s="8">
        <f>SUM(B134:BY134)</f>
        <v>1261.83</v>
      </c>
    </row>
    <row r="135" spans="1:78">
      <c r="A135" s="11" t="s">
        <v>212</v>
      </c>
      <c r="B135" s="8">
        <v>0</v>
      </c>
      <c r="C135" s="8">
        <v>0</v>
      </c>
      <c r="D135" s="8">
        <v>0</v>
      </c>
      <c r="E135" s="8">
        <v>0</v>
      </c>
      <c r="F135" s="8">
        <v>0</v>
      </c>
      <c r="G135" s="8">
        <v>8462.41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8">
        <v>0</v>
      </c>
      <c r="AB135" s="8">
        <v>0</v>
      </c>
      <c r="AC135" s="8">
        <v>0</v>
      </c>
      <c r="AD135" s="8">
        <v>0</v>
      </c>
      <c r="AE135" s="8">
        <v>0</v>
      </c>
      <c r="AF135" s="8">
        <v>0</v>
      </c>
      <c r="AG135" s="8">
        <v>0</v>
      </c>
      <c r="AH135" s="8">
        <v>0</v>
      </c>
      <c r="AI135" s="8">
        <v>0</v>
      </c>
      <c r="AJ135" s="8">
        <v>0</v>
      </c>
      <c r="AK135" s="8">
        <v>0</v>
      </c>
      <c r="AL135" s="8">
        <v>0</v>
      </c>
      <c r="AM135" s="8">
        <v>0</v>
      </c>
      <c r="AN135" s="8">
        <v>0</v>
      </c>
      <c r="AO135" s="8">
        <v>0</v>
      </c>
      <c r="AP135" s="8">
        <v>0</v>
      </c>
      <c r="AQ135" s="8">
        <v>0</v>
      </c>
      <c r="AR135" s="8">
        <v>0</v>
      </c>
      <c r="AS135" s="8">
        <v>0</v>
      </c>
      <c r="AT135" s="8">
        <v>0</v>
      </c>
      <c r="AU135" s="8">
        <v>0</v>
      </c>
      <c r="AV135" s="8">
        <v>0</v>
      </c>
      <c r="AW135" s="8">
        <v>0</v>
      </c>
      <c r="AX135" s="8">
        <v>0</v>
      </c>
      <c r="AY135" s="8">
        <v>0</v>
      </c>
      <c r="AZ135" s="8">
        <v>0</v>
      </c>
      <c r="BA135" s="8">
        <v>7839.52</v>
      </c>
      <c r="BB135" s="8">
        <v>0</v>
      </c>
      <c r="BC135" s="8">
        <v>0</v>
      </c>
      <c r="BD135" s="8">
        <v>0</v>
      </c>
      <c r="BE135" s="8">
        <v>0</v>
      </c>
      <c r="BF135" s="8">
        <v>0</v>
      </c>
      <c r="BG135" s="8">
        <v>0</v>
      </c>
      <c r="BH135" s="8">
        <v>0</v>
      </c>
      <c r="BI135" s="8">
        <v>0</v>
      </c>
      <c r="BJ135" s="8">
        <v>0</v>
      </c>
      <c r="BK135" s="8">
        <v>0</v>
      </c>
      <c r="BL135" s="8">
        <v>0</v>
      </c>
      <c r="BM135" s="8">
        <v>0</v>
      </c>
      <c r="BN135" s="8">
        <v>0</v>
      </c>
      <c r="BO135" s="8">
        <v>0</v>
      </c>
      <c r="BP135" s="8">
        <v>0</v>
      </c>
      <c r="BQ135" s="8">
        <v>0</v>
      </c>
      <c r="BR135" s="8">
        <v>0</v>
      </c>
      <c r="BS135" s="8">
        <v>0</v>
      </c>
      <c r="BT135" s="8">
        <v>0</v>
      </c>
      <c r="BU135" s="8">
        <v>0</v>
      </c>
      <c r="BV135" s="8">
        <v>0</v>
      </c>
      <c r="BW135" s="8">
        <v>0</v>
      </c>
      <c r="BX135" s="8">
        <v>0</v>
      </c>
      <c r="BY135" s="8">
        <v>0</v>
      </c>
      <c r="BZ135" s="8">
        <f>SUM(B135:BY135)</f>
        <v>16301.93</v>
      </c>
    </row>
    <row r="136" spans="1:78">
      <c r="A136" s="11" t="s">
        <v>213</v>
      </c>
      <c r="B136" s="8">
        <v>0</v>
      </c>
      <c r="C136" s="8">
        <v>0</v>
      </c>
      <c r="D136" s="8">
        <v>0</v>
      </c>
      <c r="E136" s="8">
        <v>0</v>
      </c>
      <c r="F136" s="8">
        <v>0</v>
      </c>
      <c r="G136" s="8">
        <v>119.88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8">
        <v>0</v>
      </c>
      <c r="AB136" s="8">
        <v>0</v>
      </c>
      <c r="AC136" s="8">
        <v>0</v>
      </c>
      <c r="AD136" s="8">
        <v>0</v>
      </c>
      <c r="AE136" s="8">
        <v>0</v>
      </c>
      <c r="AF136" s="8">
        <v>0</v>
      </c>
      <c r="AG136" s="8">
        <v>0</v>
      </c>
      <c r="AH136" s="8">
        <v>0</v>
      </c>
      <c r="AI136" s="8">
        <v>0</v>
      </c>
      <c r="AJ136" s="8">
        <v>0</v>
      </c>
      <c r="AK136" s="8">
        <v>0</v>
      </c>
      <c r="AL136" s="8">
        <v>0</v>
      </c>
      <c r="AM136" s="8">
        <v>0</v>
      </c>
      <c r="AN136" s="8">
        <v>0</v>
      </c>
      <c r="AO136" s="8">
        <v>0</v>
      </c>
      <c r="AP136" s="8">
        <v>0</v>
      </c>
      <c r="AQ136" s="8">
        <v>0</v>
      </c>
      <c r="AR136" s="8">
        <v>0</v>
      </c>
      <c r="AS136" s="8">
        <v>0</v>
      </c>
      <c r="AT136" s="8">
        <v>0</v>
      </c>
      <c r="AU136" s="8">
        <v>0</v>
      </c>
      <c r="AV136" s="8">
        <v>0</v>
      </c>
      <c r="AW136" s="8">
        <v>0</v>
      </c>
      <c r="AX136" s="8">
        <v>0</v>
      </c>
      <c r="AY136" s="8">
        <v>0</v>
      </c>
      <c r="AZ136" s="8">
        <v>0</v>
      </c>
      <c r="BA136" s="8">
        <v>359</v>
      </c>
      <c r="BB136" s="8">
        <v>0</v>
      </c>
      <c r="BC136" s="8">
        <v>0</v>
      </c>
      <c r="BD136" s="8">
        <v>0</v>
      </c>
      <c r="BE136" s="8">
        <v>0</v>
      </c>
      <c r="BF136" s="8">
        <v>0</v>
      </c>
      <c r="BG136" s="8">
        <v>0</v>
      </c>
      <c r="BH136" s="8">
        <v>0</v>
      </c>
      <c r="BI136" s="8">
        <v>0</v>
      </c>
      <c r="BJ136" s="8">
        <v>0</v>
      </c>
      <c r="BK136" s="8">
        <v>0</v>
      </c>
      <c r="BL136" s="8">
        <v>0</v>
      </c>
      <c r="BM136" s="8">
        <v>0</v>
      </c>
      <c r="BN136" s="8">
        <v>0</v>
      </c>
      <c r="BO136" s="8">
        <v>0</v>
      </c>
      <c r="BP136" s="8">
        <v>0</v>
      </c>
      <c r="BQ136" s="8">
        <v>0</v>
      </c>
      <c r="BR136" s="8">
        <v>0</v>
      </c>
      <c r="BS136" s="8">
        <v>0</v>
      </c>
      <c r="BT136" s="8">
        <v>0</v>
      </c>
      <c r="BU136" s="8">
        <v>0</v>
      </c>
      <c r="BV136" s="8">
        <v>0</v>
      </c>
      <c r="BW136" s="8">
        <v>0</v>
      </c>
      <c r="BX136" s="8">
        <v>0</v>
      </c>
      <c r="BY136" s="8">
        <v>0</v>
      </c>
      <c r="BZ136" s="8">
        <f>SUM(B136:BY136)</f>
        <v>478.88</v>
      </c>
    </row>
    <row r="137" spans="1:78">
      <c r="A137" s="11" t="s">
        <v>214</v>
      </c>
      <c r="B137" s="8">
        <v>0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8">
        <v>0</v>
      </c>
      <c r="AC137" s="8">
        <v>0</v>
      </c>
      <c r="AD137" s="8">
        <v>0</v>
      </c>
      <c r="AE137" s="8">
        <v>0</v>
      </c>
      <c r="AF137" s="8">
        <v>0</v>
      </c>
      <c r="AG137" s="8">
        <v>0</v>
      </c>
      <c r="AH137" s="8">
        <v>0</v>
      </c>
      <c r="AI137" s="8">
        <v>0</v>
      </c>
      <c r="AJ137" s="8">
        <v>0</v>
      </c>
      <c r="AK137" s="8">
        <v>0</v>
      </c>
      <c r="AL137" s="8">
        <v>0</v>
      </c>
      <c r="AM137" s="8">
        <v>0</v>
      </c>
      <c r="AN137" s="8">
        <v>0</v>
      </c>
      <c r="AO137" s="8">
        <v>0</v>
      </c>
      <c r="AP137" s="8">
        <v>0</v>
      </c>
      <c r="AQ137" s="8">
        <v>0</v>
      </c>
      <c r="AR137" s="8">
        <v>0</v>
      </c>
      <c r="AS137" s="8">
        <v>0</v>
      </c>
      <c r="AT137" s="8">
        <v>0</v>
      </c>
      <c r="AU137" s="8">
        <v>0</v>
      </c>
      <c r="AV137" s="8">
        <v>0</v>
      </c>
      <c r="AW137" s="8">
        <v>0</v>
      </c>
      <c r="AX137" s="8">
        <v>0</v>
      </c>
      <c r="AY137" s="8">
        <v>0</v>
      </c>
      <c r="AZ137" s="8">
        <v>0</v>
      </c>
      <c r="BA137" s="8">
        <v>1209.23</v>
      </c>
      <c r="BB137" s="8">
        <v>0</v>
      </c>
      <c r="BC137" s="8">
        <v>0</v>
      </c>
      <c r="BD137" s="8">
        <v>0</v>
      </c>
      <c r="BE137" s="8">
        <v>0</v>
      </c>
      <c r="BF137" s="8">
        <v>0</v>
      </c>
      <c r="BG137" s="8">
        <v>0</v>
      </c>
      <c r="BH137" s="8">
        <v>0</v>
      </c>
      <c r="BI137" s="8">
        <v>0</v>
      </c>
      <c r="BJ137" s="8">
        <v>0</v>
      </c>
      <c r="BK137" s="8">
        <v>0</v>
      </c>
      <c r="BL137" s="8">
        <v>0</v>
      </c>
      <c r="BM137" s="8">
        <v>0</v>
      </c>
      <c r="BN137" s="8">
        <v>0</v>
      </c>
      <c r="BO137" s="8">
        <v>0</v>
      </c>
      <c r="BP137" s="8">
        <v>0</v>
      </c>
      <c r="BQ137" s="8">
        <v>0</v>
      </c>
      <c r="BR137" s="8">
        <v>0</v>
      </c>
      <c r="BS137" s="8">
        <v>0</v>
      </c>
      <c r="BT137" s="8">
        <v>0</v>
      </c>
      <c r="BU137" s="8">
        <v>0</v>
      </c>
      <c r="BV137" s="8">
        <v>0</v>
      </c>
      <c r="BW137" s="8">
        <v>0</v>
      </c>
      <c r="BX137" s="8">
        <v>0</v>
      </c>
      <c r="BY137" s="8">
        <v>0</v>
      </c>
      <c r="BZ137" s="8">
        <f>SUM(B137:BY137)</f>
        <v>1209.23</v>
      </c>
    </row>
    <row r="138" spans="1:78">
      <c r="A138" s="6" t="s">
        <v>215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</row>
    <row r="139" spans="1:78">
      <c r="A139" s="7" t="s">
        <v>216</v>
      </c>
      <c r="B139" s="8">
        <v>0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8">
        <v>0</v>
      </c>
      <c r="AC139" s="8">
        <v>0</v>
      </c>
      <c r="AD139" s="8">
        <v>0</v>
      </c>
      <c r="AE139" s="8">
        <v>0</v>
      </c>
      <c r="AF139" s="8">
        <v>0</v>
      </c>
      <c r="AG139" s="8">
        <v>0</v>
      </c>
      <c r="AH139" s="8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8">
        <v>0</v>
      </c>
      <c r="AO139" s="8">
        <v>0</v>
      </c>
      <c r="AP139" s="8">
        <v>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0</v>
      </c>
      <c r="BA139" s="8">
        <v>0</v>
      </c>
      <c r="BB139" s="8">
        <v>0</v>
      </c>
      <c r="BC139" s="8">
        <v>0</v>
      </c>
      <c r="BD139" s="8">
        <v>0</v>
      </c>
      <c r="BE139" s="8">
        <v>0</v>
      </c>
      <c r="BF139" s="8">
        <v>0</v>
      </c>
      <c r="BG139" s="8">
        <v>0</v>
      </c>
      <c r="BH139" s="8">
        <v>0</v>
      </c>
      <c r="BI139" s="8">
        <v>631981.92000000004</v>
      </c>
      <c r="BJ139" s="8">
        <v>439689.91</v>
      </c>
      <c r="BK139" s="8">
        <v>1242967.8700000001</v>
      </c>
      <c r="BL139" s="8">
        <v>17449.98</v>
      </c>
      <c r="BM139" s="8">
        <v>8829.19</v>
      </c>
      <c r="BN139" s="8">
        <v>462297</v>
      </c>
      <c r="BO139" s="8">
        <v>72745</v>
      </c>
      <c r="BP139" s="8">
        <v>350311</v>
      </c>
      <c r="BQ139" s="88">
        <f>183842.67</f>
        <v>183842.67</v>
      </c>
      <c r="BR139" s="8">
        <v>281757.89</v>
      </c>
      <c r="BS139" s="8">
        <v>609979.67000000004</v>
      </c>
      <c r="BT139" s="8">
        <v>145103.35</v>
      </c>
      <c r="BU139" s="8">
        <v>231365.52</v>
      </c>
      <c r="BV139" s="8">
        <v>115339.27</v>
      </c>
      <c r="BW139" s="8">
        <v>336499.57</v>
      </c>
      <c r="BX139" s="8">
        <v>474936.41</v>
      </c>
      <c r="BY139" s="8">
        <v>11767.09</v>
      </c>
      <c r="BZ139" s="8">
        <f>SUM(B139:BY139)</f>
        <v>5616863.3099999996</v>
      </c>
    </row>
    <row r="140" spans="1:78">
      <c r="A140" s="7" t="s">
        <v>217</v>
      </c>
      <c r="B140" s="8">
        <v>0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8">
        <v>0</v>
      </c>
      <c r="AC140" s="8">
        <v>0</v>
      </c>
      <c r="AD140" s="8">
        <v>0</v>
      </c>
      <c r="AE140" s="8">
        <v>0</v>
      </c>
      <c r="AF140" s="8">
        <v>0</v>
      </c>
      <c r="AG140" s="8">
        <v>0</v>
      </c>
      <c r="AH140" s="8">
        <v>0</v>
      </c>
      <c r="AI140" s="8">
        <v>0</v>
      </c>
      <c r="AJ140" s="8">
        <v>0</v>
      </c>
      <c r="AK140" s="8">
        <v>0</v>
      </c>
      <c r="AL140" s="8">
        <v>0</v>
      </c>
      <c r="AM140" s="8">
        <v>0</v>
      </c>
      <c r="AN140" s="8">
        <v>0</v>
      </c>
      <c r="AO140" s="8">
        <v>0</v>
      </c>
      <c r="AP140" s="8">
        <v>0</v>
      </c>
      <c r="AQ140" s="8">
        <v>2.94</v>
      </c>
      <c r="AR140" s="8">
        <v>0</v>
      </c>
      <c r="AS140" s="8">
        <v>0</v>
      </c>
      <c r="AT140" s="8">
        <v>0</v>
      </c>
      <c r="AU140" s="8">
        <v>866229.82</v>
      </c>
      <c r="AV140" s="8">
        <v>0</v>
      </c>
      <c r="AW140" s="8">
        <v>0</v>
      </c>
      <c r="AX140" s="8">
        <v>0</v>
      </c>
      <c r="AY140" s="8">
        <v>0</v>
      </c>
      <c r="AZ140" s="8">
        <v>0</v>
      </c>
      <c r="BA140" s="8">
        <v>-1080</v>
      </c>
      <c r="BB140" s="8">
        <v>0</v>
      </c>
      <c r="BC140" s="8">
        <v>0</v>
      </c>
      <c r="BD140" s="8">
        <v>0</v>
      </c>
      <c r="BE140" s="8">
        <v>0</v>
      </c>
      <c r="BF140" s="8">
        <v>0</v>
      </c>
      <c r="BG140" s="8">
        <v>0</v>
      </c>
      <c r="BH140" s="8">
        <v>0</v>
      </c>
      <c r="BI140" s="8">
        <v>0</v>
      </c>
      <c r="BJ140" s="8">
        <v>0</v>
      </c>
      <c r="BK140" s="8">
        <v>0</v>
      </c>
      <c r="BL140" s="8">
        <v>0</v>
      </c>
      <c r="BM140" s="8">
        <v>311861.44</v>
      </c>
      <c r="BN140" s="8">
        <v>0</v>
      </c>
      <c r="BO140" s="8">
        <v>0</v>
      </c>
      <c r="BP140" s="8">
        <v>0</v>
      </c>
      <c r="BQ140" s="8">
        <v>0</v>
      </c>
      <c r="BR140" s="8">
        <v>2273469.5699999998</v>
      </c>
      <c r="BS140" s="8">
        <v>3645694.95</v>
      </c>
      <c r="BT140" s="8">
        <v>223579.54</v>
      </c>
      <c r="BU140" s="8">
        <v>0</v>
      </c>
      <c r="BV140" s="8">
        <v>0</v>
      </c>
      <c r="BW140" s="8">
        <v>75837.84</v>
      </c>
      <c r="BX140" s="8">
        <v>-61036.800000000003</v>
      </c>
      <c r="BY140" s="8">
        <v>252500.67</v>
      </c>
      <c r="BZ140" s="8">
        <f>SUM(B140:BY140)</f>
        <v>7587059.9699999997</v>
      </c>
    </row>
    <row r="141" spans="1:78">
      <c r="A141" s="15" t="s">
        <v>218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</row>
    <row r="142" spans="1:78">
      <c r="A142" s="16" t="s">
        <v>219</v>
      </c>
      <c r="B142" s="8">
        <v>0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8">
        <v>0</v>
      </c>
      <c r="AC142" s="8">
        <v>0</v>
      </c>
      <c r="AD142" s="8">
        <v>0</v>
      </c>
      <c r="AE142" s="8">
        <v>0</v>
      </c>
      <c r="AF142" s="8">
        <v>1256251.8700000001</v>
      </c>
      <c r="AG142" s="8">
        <v>513410.87</v>
      </c>
      <c r="AH142" s="8">
        <v>0</v>
      </c>
      <c r="AI142" s="8">
        <v>0</v>
      </c>
      <c r="AJ142" s="8">
        <v>0</v>
      </c>
      <c r="AK142" s="8">
        <v>0</v>
      </c>
      <c r="AL142" s="8">
        <v>0</v>
      </c>
      <c r="AM142" s="8">
        <v>0</v>
      </c>
      <c r="AN142" s="8">
        <v>0</v>
      </c>
      <c r="AO142" s="8">
        <v>0</v>
      </c>
      <c r="AP142" s="8">
        <v>0</v>
      </c>
      <c r="AQ142" s="8">
        <v>0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8">
        <v>0</v>
      </c>
      <c r="AX142" s="8">
        <v>0</v>
      </c>
      <c r="AY142" s="8">
        <v>0</v>
      </c>
      <c r="AZ142" s="8">
        <v>0</v>
      </c>
      <c r="BA142" s="8">
        <v>0</v>
      </c>
      <c r="BB142" s="8">
        <v>0</v>
      </c>
      <c r="BC142" s="8">
        <v>0</v>
      </c>
      <c r="BD142" s="8">
        <v>0</v>
      </c>
      <c r="BE142" s="8">
        <v>0</v>
      </c>
      <c r="BF142" s="8">
        <v>0</v>
      </c>
      <c r="BG142" s="8">
        <v>0</v>
      </c>
      <c r="BH142" s="8">
        <v>0</v>
      </c>
      <c r="BI142" s="8">
        <v>0</v>
      </c>
      <c r="BJ142" s="8">
        <v>0</v>
      </c>
      <c r="BK142" s="8">
        <v>0</v>
      </c>
      <c r="BL142" s="8">
        <v>0</v>
      </c>
      <c r="BM142" s="8">
        <v>0</v>
      </c>
      <c r="BN142" s="8">
        <v>0</v>
      </c>
      <c r="BO142" s="8">
        <v>0</v>
      </c>
      <c r="BP142" s="8">
        <v>0</v>
      </c>
      <c r="BQ142" s="8">
        <v>0</v>
      </c>
      <c r="BR142" s="8">
        <v>0</v>
      </c>
      <c r="BS142" s="8">
        <v>0</v>
      </c>
      <c r="BT142" s="8">
        <v>0</v>
      </c>
      <c r="BU142" s="8">
        <v>0</v>
      </c>
      <c r="BV142" s="8">
        <v>0</v>
      </c>
      <c r="BW142" s="8">
        <v>0</v>
      </c>
      <c r="BX142" s="8">
        <v>0</v>
      </c>
      <c r="BY142" s="8">
        <v>0</v>
      </c>
      <c r="BZ142" s="8">
        <f>SUM(B142:BY142)</f>
        <v>1769662.7400000002</v>
      </c>
    </row>
    <row r="143" spans="1:78">
      <c r="A143" s="17" t="s">
        <v>220</v>
      </c>
      <c r="B143" s="10">
        <f t="shared" ref="B143:BM143" si="53">SUM(B142)</f>
        <v>0</v>
      </c>
      <c r="C143" s="10">
        <f t="shared" si="53"/>
        <v>0</v>
      </c>
      <c r="D143" s="10">
        <f t="shared" si="53"/>
        <v>0</v>
      </c>
      <c r="E143" s="10">
        <f t="shared" si="53"/>
        <v>0</v>
      </c>
      <c r="F143" s="10">
        <f t="shared" si="53"/>
        <v>0</v>
      </c>
      <c r="G143" s="10">
        <f t="shared" si="53"/>
        <v>0</v>
      </c>
      <c r="H143" s="10">
        <f t="shared" si="53"/>
        <v>0</v>
      </c>
      <c r="I143" s="10">
        <f t="shared" si="53"/>
        <v>0</v>
      </c>
      <c r="J143" s="10">
        <f t="shared" si="53"/>
        <v>0</v>
      </c>
      <c r="K143" s="10">
        <f t="shared" si="53"/>
        <v>0</v>
      </c>
      <c r="L143" s="10">
        <f t="shared" si="53"/>
        <v>0</v>
      </c>
      <c r="M143" s="10">
        <f t="shared" si="53"/>
        <v>0</v>
      </c>
      <c r="N143" s="10">
        <f t="shared" si="53"/>
        <v>0</v>
      </c>
      <c r="O143" s="10">
        <f t="shared" si="53"/>
        <v>0</v>
      </c>
      <c r="P143" s="10">
        <f t="shared" si="53"/>
        <v>0</v>
      </c>
      <c r="Q143" s="10">
        <f t="shared" si="53"/>
        <v>0</v>
      </c>
      <c r="R143" s="10">
        <f t="shared" si="53"/>
        <v>0</v>
      </c>
      <c r="S143" s="10">
        <f t="shared" si="53"/>
        <v>0</v>
      </c>
      <c r="T143" s="10">
        <f t="shared" si="53"/>
        <v>0</v>
      </c>
      <c r="U143" s="10">
        <f t="shared" si="53"/>
        <v>0</v>
      </c>
      <c r="V143" s="10">
        <f t="shared" si="53"/>
        <v>0</v>
      </c>
      <c r="W143" s="10">
        <f t="shared" si="53"/>
        <v>0</v>
      </c>
      <c r="X143" s="10">
        <f t="shared" si="53"/>
        <v>0</v>
      </c>
      <c r="Y143" s="10">
        <f t="shared" si="53"/>
        <v>0</v>
      </c>
      <c r="Z143" s="10">
        <f t="shared" si="53"/>
        <v>0</v>
      </c>
      <c r="AA143" s="10">
        <f t="shared" si="53"/>
        <v>0</v>
      </c>
      <c r="AB143" s="10">
        <f t="shared" si="53"/>
        <v>0</v>
      </c>
      <c r="AC143" s="10">
        <f t="shared" si="53"/>
        <v>0</v>
      </c>
      <c r="AD143" s="10">
        <f t="shared" si="53"/>
        <v>0</v>
      </c>
      <c r="AE143" s="10">
        <f t="shared" si="53"/>
        <v>0</v>
      </c>
      <c r="AF143" s="10">
        <f t="shared" si="53"/>
        <v>1256251.8700000001</v>
      </c>
      <c r="AG143" s="10">
        <f t="shared" si="53"/>
        <v>513410.87</v>
      </c>
      <c r="AH143" s="10">
        <f t="shared" si="53"/>
        <v>0</v>
      </c>
      <c r="AI143" s="10">
        <f t="shared" si="53"/>
        <v>0</v>
      </c>
      <c r="AJ143" s="10">
        <f t="shared" si="53"/>
        <v>0</v>
      </c>
      <c r="AK143" s="10">
        <f t="shared" si="53"/>
        <v>0</v>
      </c>
      <c r="AL143" s="10">
        <f t="shared" si="53"/>
        <v>0</v>
      </c>
      <c r="AM143" s="10">
        <f t="shared" si="53"/>
        <v>0</v>
      </c>
      <c r="AN143" s="10">
        <f t="shared" si="53"/>
        <v>0</v>
      </c>
      <c r="AO143" s="10">
        <f t="shared" si="53"/>
        <v>0</v>
      </c>
      <c r="AP143" s="10">
        <f t="shared" si="53"/>
        <v>0</v>
      </c>
      <c r="AQ143" s="10">
        <f t="shared" si="53"/>
        <v>0</v>
      </c>
      <c r="AR143" s="10">
        <f t="shared" si="53"/>
        <v>0</v>
      </c>
      <c r="AS143" s="10">
        <f t="shared" si="53"/>
        <v>0</v>
      </c>
      <c r="AT143" s="10">
        <f t="shared" si="53"/>
        <v>0</v>
      </c>
      <c r="AU143" s="10">
        <f t="shared" si="53"/>
        <v>0</v>
      </c>
      <c r="AV143" s="10">
        <f t="shared" si="53"/>
        <v>0</v>
      </c>
      <c r="AW143" s="10">
        <f t="shared" si="53"/>
        <v>0</v>
      </c>
      <c r="AX143" s="10">
        <f t="shared" si="53"/>
        <v>0</v>
      </c>
      <c r="AY143" s="10">
        <f t="shared" si="53"/>
        <v>0</v>
      </c>
      <c r="AZ143" s="10">
        <f t="shared" si="53"/>
        <v>0</v>
      </c>
      <c r="BA143" s="10">
        <f t="shared" si="53"/>
        <v>0</v>
      </c>
      <c r="BB143" s="10">
        <f t="shared" si="53"/>
        <v>0</v>
      </c>
      <c r="BC143" s="10">
        <f t="shared" si="53"/>
        <v>0</v>
      </c>
      <c r="BD143" s="10">
        <f t="shared" si="53"/>
        <v>0</v>
      </c>
      <c r="BE143" s="10">
        <f t="shared" si="53"/>
        <v>0</v>
      </c>
      <c r="BF143" s="10">
        <f t="shared" si="53"/>
        <v>0</v>
      </c>
      <c r="BG143" s="10">
        <f t="shared" si="53"/>
        <v>0</v>
      </c>
      <c r="BH143" s="10">
        <f t="shared" si="53"/>
        <v>0</v>
      </c>
      <c r="BI143" s="10">
        <f t="shared" si="53"/>
        <v>0</v>
      </c>
      <c r="BJ143" s="10">
        <f t="shared" si="53"/>
        <v>0</v>
      </c>
      <c r="BK143" s="10">
        <f t="shared" si="53"/>
        <v>0</v>
      </c>
      <c r="BL143" s="10">
        <f t="shared" si="53"/>
        <v>0</v>
      </c>
      <c r="BM143" s="10">
        <f t="shared" si="53"/>
        <v>0</v>
      </c>
      <c r="BN143" s="10">
        <f t="shared" ref="BN143:BZ143" si="54">SUM(BN142)</f>
        <v>0</v>
      </c>
      <c r="BO143" s="10">
        <f t="shared" si="54"/>
        <v>0</v>
      </c>
      <c r="BP143" s="10">
        <f t="shared" si="54"/>
        <v>0</v>
      </c>
      <c r="BQ143" s="10">
        <f t="shared" si="54"/>
        <v>0</v>
      </c>
      <c r="BR143" s="10">
        <f t="shared" si="54"/>
        <v>0</v>
      </c>
      <c r="BS143" s="10">
        <f t="shared" si="54"/>
        <v>0</v>
      </c>
      <c r="BT143" s="10">
        <f t="shared" si="54"/>
        <v>0</v>
      </c>
      <c r="BU143" s="10">
        <f t="shared" si="54"/>
        <v>0</v>
      </c>
      <c r="BV143" s="10">
        <f t="shared" si="54"/>
        <v>0</v>
      </c>
      <c r="BW143" s="10">
        <f t="shared" si="54"/>
        <v>0</v>
      </c>
      <c r="BX143" s="10">
        <f t="shared" si="54"/>
        <v>0</v>
      </c>
      <c r="BY143" s="10">
        <f t="shared" si="54"/>
        <v>0</v>
      </c>
      <c r="BZ143" s="10">
        <f t="shared" si="54"/>
        <v>1769662.7400000002</v>
      </c>
    </row>
    <row r="144" spans="1:78">
      <c r="A144" s="9" t="s">
        <v>221</v>
      </c>
      <c r="B144" s="10">
        <f t="shared" ref="B144:BM144" si="55">SUM(B139:B140,B143)</f>
        <v>0</v>
      </c>
      <c r="C144" s="10">
        <f t="shared" si="55"/>
        <v>0</v>
      </c>
      <c r="D144" s="10">
        <f t="shared" si="55"/>
        <v>0</v>
      </c>
      <c r="E144" s="10">
        <f t="shared" si="55"/>
        <v>0</v>
      </c>
      <c r="F144" s="10">
        <f t="shared" si="55"/>
        <v>0</v>
      </c>
      <c r="G144" s="10">
        <f t="shared" si="55"/>
        <v>0</v>
      </c>
      <c r="H144" s="10">
        <f t="shared" si="55"/>
        <v>0</v>
      </c>
      <c r="I144" s="10">
        <f t="shared" si="55"/>
        <v>0</v>
      </c>
      <c r="J144" s="10">
        <f t="shared" si="55"/>
        <v>0</v>
      </c>
      <c r="K144" s="10">
        <f t="shared" si="55"/>
        <v>0</v>
      </c>
      <c r="L144" s="10">
        <f t="shared" si="55"/>
        <v>0</v>
      </c>
      <c r="M144" s="10">
        <f t="shared" si="55"/>
        <v>0</v>
      </c>
      <c r="N144" s="10">
        <f t="shared" si="55"/>
        <v>0</v>
      </c>
      <c r="O144" s="10">
        <f t="shared" si="55"/>
        <v>0</v>
      </c>
      <c r="P144" s="10">
        <f t="shared" si="55"/>
        <v>0</v>
      </c>
      <c r="Q144" s="10">
        <f t="shared" si="55"/>
        <v>0</v>
      </c>
      <c r="R144" s="10">
        <f t="shared" si="55"/>
        <v>0</v>
      </c>
      <c r="S144" s="10">
        <f t="shared" si="55"/>
        <v>0</v>
      </c>
      <c r="T144" s="10">
        <f t="shared" si="55"/>
        <v>0</v>
      </c>
      <c r="U144" s="10">
        <f t="shared" si="55"/>
        <v>0</v>
      </c>
      <c r="V144" s="10">
        <f t="shared" si="55"/>
        <v>0</v>
      </c>
      <c r="W144" s="10">
        <f t="shared" si="55"/>
        <v>0</v>
      </c>
      <c r="X144" s="10">
        <f t="shared" si="55"/>
        <v>0</v>
      </c>
      <c r="Y144" s="10">
        <f t="shared" si="55"/>
        <v>0</v>
      </c>
      <c r="Z144" s="10">
        <f t="shared" si="55"/>
        <v>0</v>
      </c>
      <c r="AA144" s="10">
        <f t="shared" si="55"/>
        <v>0</v>
      </c>
      <c r="AB144" s="10">
        <f t="shared" si="55"/>
        <v>0</v>
      </c>
      <c r="AC144" s="10">
        <f t="shared" si="55"/>
        <v>0</v>
      </c>
      <c r="AD144" s="10">
        <f t="shared" si="55"/>
        <v>0</v>
      </c>
      <c r="AE144" s="10">
        <f t="shared" si="55"/>
        <v>0</v>
      </c>
      <c r="AF144" s="10">
        <f t="shared" si="55"/>
        <v>1256251.8700000001</v>
      </c>
      <c r="AG144" s="10">
        <f t="shared" si="55"/>
        <v>513410.87</v>
      </c>
      <c r="AH144" s="10">
        <f t="shared" si="55"/>
        <v>0</v>
      </c>
      <c r="AI144" s="10">
        <f t="shared" si="55"/>
        <v>0</v>
      </c>
      <c r="AJ144" s="10">
        <f t="shared" si="55"/>
        <v>0</v>
      </c>
      <c r="AK144" s="10">
        <f t="shared" si="55"/>
        <v>0</v>
      </c>
      <c r="AL144" s="10">
        <f t="shared" si="55"/>
        <v>0</v>
      </c>
      <c r="AM144" s="10">
        <f t="shared" si="55"/>
        <v>0</v>
      </c>
      <c r="AN144" s="10">
        <f t="shared" si="55"/>
        <v>0</v>
      </c>
      <c r="AO144" s="10">
        <f t="shared" si="55"/>
        <v>0</v>
      </c>
      <c r="AP144" s="10">
        <f t="shared" si="55"/>
        <v>0</v>
      </c>
      <c r="AQ144" s="10">
        <f t="shared" si="55"/>
        <v>2.94</v>
      </c>
      <c r="AR144" s="10">
        <f t="shared" si="55"/>
        <v>0</v>
      </c>
      <c r="AS144" s="10">
        <f t="shared" si="55"/>
        <v>0</v>
      </c>
      <c r="AT144" s="10">
        <f t="shared" si="55"/>
        <v>0</v>
      </c>
      <c r="AU144" s="10">
        <f t="shared" si="55"/>
        <v>866229.82</v>
      </c>
      <c r="AV144" s="10">
        <f t="shared" si="55"/>
        <v>0</v>
      </c>
      <c r="AW144" s="10">
        <f t="shared" si="55"/>
        <v>0</v>
      </c>
      <c r="AX144" s="10">
        <f t="shared" si="55"/>
        <v>0</v>
      </c>
      <c r="AY144" s="10">
        <f t="shared" si="55"/>
        <v>0</v>
      </c>
      <c r="AZ144" s="10">
        <f t="shared" si="55"/>
        <v>0</v>
      </c>
      <c r="BA144" s="10">
        <f t="shared" si="55"/>
        <v>-1080</v>
      </c>
      <c r="BB144" s="10">
        <f t="shared" si="55"/>
        <v>0</v>
      </c>
      <c r="BC144" s="10">
        <f t="shared" si="55"/>
        <v>0</v>
      </c>
      <c r="BD144" s="10">
        <f t="shared" si="55"/>
        <v>0</v>
      </c>
      <c r="BE144" s="10">
        <f t="shared" si="55"/>
        <v>0</v>
      </c>
      <c r="BF144" s="10">
        <f t="shared" si="55"/>
        <v>0</v>
      </c>
      <c r="BG144" s="10">
        <f t="shared" si="55"/>
        <v>0</v>
      </c>
      <c r="BH144" s="10">
        <f t="shared" si="55"/>
        <v>0</v>
      </c>
      <c r="BI144" s="10">
        <f t="shared" si="55"/>
        <v>631981.92000000004</v>
      </c>
      <c r="BJ144" s="10">
        <f t="shared" si="55"/>
        <v>439689.91</v>
      </c>
      <c r="BK144" s="10">
        <f t="shared" si="55"/>
        <v>1242967.8700000001</v>
      </c>
      <c r="BL144" s="10">
        <f t="shared" si="55"/>
        <v>17449.98</v>
      </c>
      <c r="BM144" s="10">
        <f t="shared" si="55"/>
        <v>320690.63</v>
      </c>
      <c r="BN144" s="10">
        <f t="shared" ref="BN144:BZ144" si="56">SUM(BN139:BN140,BN143)</f>
        <v>462297</v>
      </c>
      <c r="BO144" s="10">
        <f t="shared" si="56"/>
        <v>72745</v>
      </c>
      <c r="BP144" s="10">
        <f t="shared" si="56"/>
        <v>350311</v>
      </c>
      <c r="BQ144" s="10">
        <f t="shared" si="56"/>
        <v>183842.67</v>
      </c>
      <c r="BR144" s="10">
        <f t="shared" si="56"/>
        <v>2555227.46</v>
      </c>
      <c r="BS144" s="10">
        <f t="shared" si="56"/>
        <v>4255674.62</v>
      </c>
      <c r="BT144" s="10">
        <f t="shared" si="56"/>
        <v>368682.89</v>
      </c>
      <c r="BU144" s="10">
        <f t="shared" si="56"/>
        <v>231365.52</v>
      </c>
      <c r="BV144" s="10">
        <f t="shared" si="56"/>
        <v>115339.27</v>
      </c>
      <c r="BW144" s="10">
        <f t="shared" si="56"/>
        <v>412337.41000000003</v>
      </c>
      <c r="BX144" s="10">
        <f t="shared" si="56"/>
        <v>413899.61</v>
      </c>
      <c r="BY144" s="10">
        <f t="shared" si="56"/>
        <v>264267.76</v>
      </c>
      <c r="BZ144" s="10">
        <f t="shared" si="56"/>
        <v>14973586.02</v>
      </c>
    </row>
    <row r="145" spans="1:78">
      <c r="A145" s="6" t="s">
        <v>222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</row>
    <row r="146" spans="1:78">
      <c r="A146" s="7" t="s">
        <v>223</v>
      </c>
      <c r="B146" s="8">
        <v>0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8">
        <v>0</v>
      </c>
      <c r="AC146" s="8">
        <v>0</v>
      </c>
      <c r="AD146" s="8">
        <v>0</v>
      </c>
      <c r="AE146" s="8">
        <v>0</v>
      </c>
      <c r="AF146" s="8">
        <v>0</v>
      </c>
      <c r="AG146" s="8">
        <v>0</v>
      </c>
      <c r="AH146" s="8">
        <v>0</v>
      </c>
      <c r="AI146" s="8">
        <v>0</v>
      </c>
      <c r="AJ146" s="8">
        <v>0</v>
      </c>
      <c r="AK146" s="8">
        <v>0</v>
      </c>
      <c r="AL146" s="8">
        <v>0</v>
      </c>
      <c r="AM146" s="8">
        <v>0</v>
      </c>
      <c r="AN146" s="8">
        <v>0</v>
      </c>
      <c r="AO146" s="8">
        <v>0</v>
      </c>
      <c r="AP146" s="8">
        <v>0</v>
      </c>
      <c r="AQ146" s="8">
        <v>0</v>
      </c>
      <c r="AR146" s="8">
        <v>0</v>
      </c>
      <c r="AS146" s="8">
        <v>0</v>
      </c>
      <c r="AT146" s="8">
        <v>0</v>
      </c>
      <c r="AU146" s="8">
        <v>0</v>
      </c>
      <c r="AV146" s="8">
        <v>0</v>
      </c>
      <c r="AW146" s="8">
        <v>0</v>
      </c>
      <c r="AX146" s="8">
        <v>0</v>
      </c>
      <c r="AY146" s="8">
        <v>0</v>
      </c>
      <c r="AZ146" s="8">
        <v>0</v>
      </c>
      <c r="BA146" s="8">
        <v>32.85</v>
      </c>
      <c r="BB146" s="8">
        <v>0</v>
      </c>
      <c r="BC146" s="8">
        <v>0</v>
      </c>
      <c r="BD146" s="8">
        <v>0</v>
      </c>
      <c r="BE146" s="8">
        <v>0</v>
      </c>
      <c r="BF146" s="8">
        <v>0</v>
      </c>
      <c r="BG146" s="8">
        <v>0</v>
      </c>
      <c r="BH146" s="8">
        <v>0</v>
      </c>
      <c r="BI146" s="8">
        <v>0</v>
      </c>
      <c r="BJ146" s="8">
        <v>0</v>
      </c>
      <c r="BK146" s="8">
        <v>0</v>
      </c>
      <c r="BL146" s="8">
        <v>0</v>
      </c>
      <c r="BM146" s="8">
        <v>0</v>
      </c>
      <c r="BN146" s="8">
        <v>0</v>
      </c>
      <c r="BO146" s="8">
        <v>0</v>
      </c>
      <c r="BP146" s="8">
        <v>0</v>
      </c>
      <c r="BQ146" s="8">
        <v>0</v>
      </c>
      <c r="BR146" s="8">
        <v>0</v>
      </c>
      <c r="BS146" s="8">
        <v>0</v>
      </c>
      <c r="BT146" s="8">
        <v>0</v>
      </c>
      <c r="BU146" s="8">
        <v>0</v>
      </c>
      <c r="BV146" s="8">
        <v>0</v>
      </c>
      <c r="BW146" s="8">
        <v>0</v>
      </c>
      <c r="BX146" s="8">
        <v>0</v>
      </c>
      <c r="BY146" s="8">
        <v>0</v>
      </c>
      <c r="BZ146" s="8">
        <f>SUM(B146:BY146)</f>
        <v>32.85</v>
      </c>
    </row>
    <row r="147" spans="1:78">
      <c r="A147" s="9" t="s">
        <v>224</v>
      </c>
      <c r="B147" s="10">
        <f t="shared" ref="B147:BM147" si="57">SUM(B146)</f>
        <v>0</v>
      </c>
      <c r="C147" s="10">
        <f t="shared" si="57"/>
        <v>0</v>
      </c>
      <c r="D147" s="10">
        <f t="shared" si="57"/>
        <v>0</v>
      </c>
      <c r="E147" s="10">
        <f t="shared" si="57"/>
        <v>0</v>
      </c>
      <c r="F147" s="10">
        <f t="shared" si="57"/>
        <v>0</v>
      </c>
      <c r="G147" s="10">
        <f t="shared" si="57"/>
        <v>0</v>
      </c>
      <c r="H147" s="10">
        <f t="shared" si="57"/>
        <v>0</v>
      </c>
      <c r="I147" s="10">
        <f t="shared" si="57"/>
        <v>0</v>
      </c>
      <c r="J147" s="10">
        <f t="shared" si="57"/>
        <v>0</v>
      </c>
      <c r="K147" s="10">
        <f t="shared" si="57"/>
        <v>0</v>
      </c>
      <c r="L147" s="10">
        <f t="shared" si="57"/>
        <v>0</v>
      </c>
      <c r="M147" s="10">
        <f t="shared" si="57"/>
        <v>0</v>
      </c>
      <c r="N147" s="10">
        <f t="shared" si="57"/>
        <v>0</v>
      </c>
      <c r="O147" s="10">
        <f t="shared" si="57"/>
        <v>0</v>
      </c>
      <c r="P147" s="10">
        <f t="shared" si="57"/>
        <v>0</v>
      </c>
      <c r="Q147" s="10">
        <f t="shared" si="57"/>
        <v>0</v>
      </c>
      <c r="R147" s="10">
        <f t="shared" si="57"/>
        <v>0</v>
      </c>
      <c r="S147" s="10">
        <f t="shared" si="57"/>
        <v>0</v>
      </c>
      <c r="T147" s="10">
        <f t="shared" si="57"/>
        <v>0</v>
      </c>
      <c r="U147" s="10">
        <f t="shared" si="57"/>
        <v>0</v>
      </c>
      <c r="V147" s="10">
        <f t="shared" si="57"/>
        <v>0</v>
      </c>
      <c r="W147" s="10">
        <f t="shared" si="57"/>
        <v>0</v>
      </c>
      <c r="X147" s="10">
        <f t="shared" si="57"/>
        <v>0</v>
      </c>
      <c r="Y147" s="10">
        <f t="shared" si="57"/>
        <v>0</v>
      </c>
      <c r="Z147" s="10">
        <f t="shared" si="57"/>
        <v>0</v>
      </c>
      <c r="AA147" s="10">
        <f t="shared" si="57"/>
        <v>0</v>
      </c>
      <c r="AB147" s="10">
        <f t="shared" si="57"/>
        <v>0</v>
      </c>
      <c r="AC147" s="10">
        <f t="shared" si="57"/>
        <v>0</v>
      </c>
      <c r="AD147" s="10">
        <f t="shared" si="57"/>
        <v>0</v>
      </c>
      <c r="AE147" s="10">
        <f t="shared" si="57"/>
        <v>0</v>
      </c>
      <c r="AF147" s="10">
        <f t="shared" si="57"/>
        <v>0</v>
      </c>
      <c r="AG147" s="10">
        <f t="shared" si="57"/>
        <v>0</v>
      </c>
      <c r="AH147" s="10">
        <f t="shared" si="57"/>
        <v>0</v>
      </c>
      <c r="AI147" s="10">
        <f t="shared" si="57"/>
        <v>0</v>
      </c>
      <c r="AJ147" s="10">
        <f t="shared" si="57"/>
        <v>0</v>
      </c>
      <c r="AK147" s="10">
        <f t="shared" si="57"/>
        <v>0</v>
      </c>
      <c r="AL147" s="10">
        <f t="shared" si="57"/>
        <v>0</v>
      </c>
      <c r="AM147" s="10">
        <f t="shared" si="57"/>
        <v>0</v>
      </c>
      <c r="AN147" s="10">
        <f t="shared" si="57"/>
        <v>0</v>
      </c>
      <c r="AO147" s="10">
        <f t="shared" si="57"/>
        <v>0</v>
      </c>
      <c r="AP147" s="10">
        <f t="shared" si="57"/>
        <v>0</v>
      </c>
      <c r="AQ147" s="10">
        <f t="shared" si="57"/>
        <v>0</v>
      </c>
      <c r="AR147" s="10">
        <f t="shared" si="57"/>
        <v>0</v>
      </c>
      <c r="AS147" s="10">
        <f t="shared" si="57"/>
        <v>0</v>
      </c>
      <c r="AT147" s="10">
        <f t="shared" si="57"/>
        <v>0</v>
      </c>
      <c r="AU147" s="10">
        <f t="shared" si="57"/>
        <v>0</v>
      </c>
      <c r="AV147" s="10">
        <f t="shared" si="57"/>
        <v>0</v>
      </c>
      <c r="AW147" s="10">
        <f t="shared" si="57"/>
        <v>0</v>
      </c>
      <c r="AX147" s="10">
        <f t="shared" si="57"/>
        <v>0</v>
      </c>
      <c r="AY147" s="10">
        <f t="shared" si="57"/>
        <v>0</v>
      </c>
      <c r="AZ147" s="10">
        <f t="shared" si="57"/>
        <v>0</v>
      </c>
      <c r="BA147" s="10">
        <f t="shared" si="57"/>
        <v>32.85</v>
      </c>
      <c r="BB147" s="10">
        <f t="shared" si="57"/>
        <v>0</v>
      </c>
      <c r="BC147" s="10">
        <f t="shared" si="57"/>
        <v>0</v>
      </c>
      <c r="BD147" s="10">
        <f t="shared" si="57"/>
        <v>0</v>
      </c>
      <c r="BE147" s="10">
        <f t="shared" si="57"/>
        <v>0</v>
      </c>
      <c r="BF147" s="10">
        <f t="shared" si="57"/>
        <v>0</v>
      </c>
      <c r="BG147" s="10">
        <f t="shared" si="57"/>
        <v>0</v>
      </c>
      <c r="BH147" s="10">
        <f t="shared" si="57"/>
        <v>0</v>
      </c>
      <c r="BI147" s="10">
        <f t="shared" si="57"/>
        <v>0</v>
      </c>
      <c r="BJ147" s="10">
        <f t="shared" si="57"/>
        <v>0</v>
      </c>
      <c r="BK147" s="10">
        <f t="shared" si="57"/>
        <v>0</v>
      </c>
      <c r="BL147" s="10">
        <f t="shared" si="57"/>
        <v>0</v>
      </c>
      <c r="BM147" s="10">
        <f t="shared" si="57"/>
        <v>0</v>
      </c>
      <c r="BN147" s="10">
        <f t="shared" ref="BN147:BZ147" si="58">SUM(BN146)</f>
        <v>0</v>
      </c>
      <c r="BO147" s="10">
        <f t="shared" si="58"/>
        <v>0</v>
      </c>
      <c r="BP147" s="10">
        <f t="shared" si="58"/>
        <v>0</v>
      </c>
      <c r="BQ147" s="10">
        <f t="shared" si="58"/>
        <v>0</v>
      </c>
      <c r="BR147" s="10">
        <f t="shared" si="58"/>
        <v>0</v>
      </c>
      <c r="BS147" s="10">
        <f t="shared" si="58"/>
        <v>0</v>
      </c>
      <c r="BT147" s="10">
        <f t="shared" si="58"/>
        <v>0</v>
      </c>
      <c r="BU147" s="10">
        <f t="shared" si="58"/>
        <v>0</v>
      </c>
      <c r="BV147" s="10">
        <f t="shared" si="58"/>
        <v>0</v>
      </c>
      <c r="BW147" s="10">
        <f t="shared" si="58"/>
        <v>0</v>
      </c>
      <c r="BX147" s="10">
        <f t="shared" si="58"/>
        <v>0</v>
      </c>
      <c r="BY147" s="10">
        <f t="shared" si="58"/>
        <v>0</v>
      </c>
      <c r="BZ147" s="10">
        <f t="shared" si="58"/>
        <v>32.85</v>
      </c>
    </row>
    <row r="148" spans="1:78">
      <c r="A148" s="11" t="s">
        <v>225</v>
      </c>
      <c r="B148" s="8">
        <v>0</v>
      </c>
      <c r="C148" s="8">
        <v>157958.49</v>
      </c>
      <c r="D148" s="8">
        <v>64526</v>
      </c>
      <c r="E148" s="8">
        <v>9724</v>
      </c>
      <c r="F148" s="8">
        <v>12457</v>
      </c>
      <c r="G148" s="8">
        <v>7259</v>
      </c>
      <c r="H148" s="8">
        <v>19514</v>
      </c>
      <c r="I148" s="8">
        <v>30299</v>
      </c>
      <c r="J148" s="8">
        <v>31764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8">
        <v>0</v>
      </c>
      <c r="AB148" s="8">
        <v>0</v>
      </c>
      <c r="AC148" s="8">
        <v>1334</v>
      </c>
      <c r="AD148" s="8">
        <v>556</v>
      </c>
      <c r="AE148" s="8">
        <v>0</v>
      </c>
      <c r="AF148" s="8">
        <v>0</v>
      </c>
      <c r="AG148" s="8">
        <v>0</v>
      </c>
      <c r="AH148" s="8">
        <v>0</v>
      </c>
      <c r="AI148" s="8">
        <v>0</v>
      </c>
      <c r="AJ148" s="8">
        <v>0</v>
      </c>
      <c r="AK148" s="8">
        <v>0</v>
      </c>
      <c r="AL148" s="8">
        <v>0</v>
      </c>
      <c r="AM148" s="8">
        <v>0</v>
      </c>
      <c r="AN148" s="8">
        <v>0</v>
      </c>
      <c r="AO148" s="8">
        <v>0</v>
      </c>
      <c r="AP148" s="8">
        <v>0</v>
      </c>
      <c r="AQ148" s="8">
        <v>0</v>
      </c>
      <c r="AR148" s="8">
        <v>0</v>
      </c>
      <c r="AS148" s="8">
        <v>921</v>
      </c>
      <c r="AT148" s="8">
        <v>0</v>
      </c>
      <c r="AU148" s="8">
        <v>0</v>
      </c>
      <c r="AV148" s="8">
        <v>13778</v>
      </c>
      <c r="AW148" s="8">
        <v>0</v>
      </c>
      <c r="AX148" s="8">
        <v>0</v>
      </c>
      <c r="AY148" s="8">
        <v>14845</v>
      </c>
      <c r="AZ148" s="8">
        <v>0</v>
      </c>
      <c r="BA148" s="8">
        <v>0</v>
      </c>
      <c r="BB148" s="8">
        <v>0</v>
      </c>
      <c r="BC148" s="8">
        <v>0</v>
      </c>
      <c r="BD148" s="8">
        <v>0</v>
      </c>
      <c r="BE148" s="8">
        <v>0</v>
      </c>
      <c r="BF148" s="8">
        <v>0</v>
      </c>
      <c r="BG148" s="8">
        <v>0</v>
      </c>
      <c r="BH148" s="8">
        <v>0</v>
      </c>
      <c r="BI148" s="8">
        <v>0</v>
      </c>
      <c r="BJ148" s="8">
        <v>0</v>
      </c>
      <c r="BK148" s="8">
        <v>0</v>
      </c>
      <c r="BL148" s="8">
        <v>0</v>
      </c>
      <c r="BM148" s="8">
        <v>0</v>
      </c>
      <c r="BN148" s="8">
        <v>0</v>
      </c>
      <c r="BO148" s="8">
        <v>0</v>
      </c>
      <c r="BP148" s="8">
        <v>0</v>
      </c>
      <c r="BQ148" s="8">
        <v>0</v>
      </c>
      <c r="BR148" s="8">
        <v>0</v>
      </c>
      <c r="BS148" s="8">
        <v>0</v>
      </c>
      <c r="BT148" s="8">
        <v>0</v>
      </c>
      <c r="BU148" s="8">
        <v>0</v>
      </c>
      <c r="BV148" s="8">
        <v>0</v>
      </c>
      <c r="BW148" s="8">
        <v>0</v>
      </c>
      <c r="BX148" s="8">
        <v>0</v>
      </c>
      <c r="BY148" s="8">
        <v>0</v>
      </c>
      <c r="BZ148" s="8">
        <f>SUM(B148:BY148)</f>
        <v>364935.49</v>
      </c>
    </row>
    <row r="149" spans="1:78">
      <c r="A149" s="12" t="s">
        <v>226</v>
      </c>
      <c r="B149" s="10">
        <f t="shared" ref="B149:BM149" si="59">SUM(B40,B44,B55,B58,B61,B66,B70,B77,B82,B86:B87,B91,B95:B96,B99,B104,B108,B114,B117:B119,B124,B133:B137,B144,B147:B148)</f>
        <v>0</v>
      </c>
      <c r="C149" s="10">
        <f t="shared" si="59"/>
        <v>549306.95837600005</v>
      </c>
      <c r="D149" s="10">
        <f t="shared" si="59"/>
        <v>226265.42222400004</v>
      </c>
      <c r="E149" s="10">
        <f t="shared" si="59"/>
        <v>52404.044736000003</v>
      </c>
      <c r="F149" s="10">
        <f t="shared" si="59"/>
        <v>66647.09489600001</v>
      </c>
      <c r="G149" s="10">
        <f t="shared" si="59"/>
        <v>29778.321504000003</v>
      </c>
      <c r="H149" s="10">
        <f t="shared" si="59"/>
        <v>94662.663231999992</v>
      </c>
      <c r="I149" s="10">
        <f t="shared" si="59"/>
        <v>152098.92186399997</v>
      </c>
      <c r="J149" s="10">
        <f t="shared" si="59"/>
        <v>262903.24807199999</v>
      </c>
      <c r="K149" s="10">
        <f t="shared" si="59"/>
        <v>139656.21084000001</v>
      </c>
      <c r="L149" s="10">
        <f t="shared" si="59"/>
        <v>24736.546168000001</v>
      </c>
      <c r="M149" s="10">
        <f t="shared" si="59"/>
        <v>61238.41326400001</v>
      </c>
      <c r="N149" s="10">
        <f t="shared" si="59"/>
        <v>147649.49780800004</v>
      </c>
      <c r="O149" s="10">
        <f t="shared" si="59"/>
        <v>24837.446519999998</v>
      </c>
      <c r="P149" s="10">
        <f t="shared" si="59"/>
        <v>758.07025600000009</v>
      </c>
      <c r="Q149" s="10">
        <f t="shared" si="59"/>
        <v>1107.0153680000001</v>
      </c>
      <c r="R149" s="10">
        <f t="shared" si="59"/>
        <v>1107.075368</v>
      </c>
      <c r="S149" s="10">
        <f t="shared" si="59"/>
        <v>1209.8450799999998</v>
      </c>
      <c r="T149" s="10">
        <f t="shared" si="59"/>
        <v>787.61530400000004</v>
      </c>
      <c r="U149" s="10">
        <f t="shared" si="59"/>
        <v>42605.221856000004</v>
      </c>
      <c r="V149" s="10">
        <f t="shared" si="59"/>
        <v>34035.5</v>
      </c>
      <c r="W149" s="10">
        <f t="shared" si="59"/>
        <v>39000.990000000005</v>
      </c>
      <c r="X149" s="10">
        <f t="shared" si="59"/>
        <v>102989.6456</v>
      </c>
      <c r="Y149" s="10">
        <f t="shared" si="59"/>
        <v>33792</v>
      </c>
      <c r="Z149" s="10">
        <f t="shared" si="59"/>
        <v>65245.000000000007</v>
      </c>
      <c r="AA149" s="10">
        <f t="shared" si="59"/>
        <v>28700.000000000004</v>
      </c>
      <c r="AB149" s="10">
        <f t="shared" si="59"/>
        <v>232493.876472</v>
      </c>
      <c r="AC149" s="10">
        <f t="shared" si="59"/>
        <v>1334</v>
      </c>
      <c r="AD149" s="10">
        <f t="shared" si="59"/>
        <v>556</v>
      </c>
      <c r="AE149" s="10">
        <f t="shared" si="59"/>
        <v>4053.86</v>
      </c>
      <c r="AF149" s="10">
        <f t="shared" si="59"/>
        <v>1465596.335256</v>
      </c>
      <c r="AG149" s="10">
        <f t="shared" si="59"/>
        <v>614764.94464</v>
      </c>
      <c r="AH149" s="10">
        <f t="shared" si="59"/>
        <v>21563.54</v>
      </c>
      <c r="AI149" s="10">
        <f t="shared" si="59"/>
        <v>785.44999999999982</v>
      </c>
      <c r="AJ149" s="10">
        <f t="shared" si="59"/>
        <v>29825.11</v>
      </c>
      <c r="AK149" s="10">
        <f t="shared" si="59"/>
        <v>35888.69</v>
      </c>
      <c r="AL149" s="10">
        <f t="shared" si="59"/>
        <v>191169.77999999997</v>
      </c>
      <c r="AM149" s="10">
        <f t="shared" si="59"/>
        <v>100</v>
      </c>
      <c r="AN149" s="10">
        <f t="shared" si="59"/>
        <v>37600.959999999992</v>
      </c>
      <c r="AO149" s="10">
        <f t="shared" si="59"/>
        <v>-500</v>
      </c>
      <c r="AP149" s="10">
        <f t="shared" si="59"/>
        <v>2934.5909280000001</v>
      </c>
      <c r="AQ149" s="10">
        <f t="shared" si="59"/>
        <v>22942.46</v>
      </c>
      <c r="AR149" s="10">
        <f t="shared" si="59"/>
        <v>0</v>
      </c>
      <c r="AS149" s="10">
        <f t="shared" si="59"/>
        <v>921</v>
      </c>
      <c r="AT149" s="10">
        <f t="shared" si="59"/>
        <v>4541.3300000000008</v>
      </c>
      <c r="AU149" s="10">
        <f t="shared" si="59"/>
        <v>927498.82</v>
      </c>
      <c r="AV149" s="10">
        <f t="shared" si="59"/>
        <v>25593.182688000001</v>
      </c>
      <c r="AW149" s="10">
        <f t="shared" si="59"/>
        <v>32910</v>
      </c>
      <c r="AX149" s="10">
        <f t="shared" si="59"/>
        <v>0</v>
      </c>
      <c r="AY149" s="10">
        <f t="shared" si="59"/>
        <v>169414.89803200003</v>
      </c>
      <c r="AZ149" s="10">
        <f t="shared" si="59"/>
        <v>21077.200639999999</v>
      </c>
      <c r="BA149" s="10">
        <f t="shared" si="59"/>
        <v>23092.249999999996</v>
      </c>
      <c r="BB149" s="10">
        <f t="shared" si="59"/>
        <v>14462.09</v>
      </c>
      <c r="BC149" s="10">
        <f t="shared" si="59"/>
        <v>12096.380000000003</v>
      </c>
      <c r="BD149" s="10">
        <f t="shared" si="59"/>
        <v>10507.75</v>
      </c>
      <c r="BE149" s="10">
        <f t="shared" si="59"/>
        <v>39452.44</v>
      </c>
      <c r="BF149" s="10">
        <f t="shared" si="59"/>
        <v>90353.443008000002</v>
      </c>
      <c r="BG149" s="10">
        <f t="shared" si="59"/>
        <v>14434.01</v>
      </c>
      <c r="BH149" s="10">
        <f t="shared" si="59"/>
        <v>928.13</v>
      </c>
      <c r="BI149" s="10">
        <f t="shared" si="59"/>
        <v>631981.92000000004</v>
      </c>
      <c r="BJ149" s="10">
        <f t="shared" si="59"/>
        <v>439689.91</v>
      </c>
      <c r="BK149" s="10">
        <f t="shared" si="59"/>
        <v>1242967.8700000001</v>
      </c>
      <c r="BL149" s="10">
        <f t="shared" si="59"/>
        <v>17449.98</v>
      </c>
      <c r="BM149" s="10">
        <f t="shared" si="59"/>
        <v>320690.63</v>
      </c>
      <c r="BN149" s="10">
        <f t="shared" ref="BN149:BZ149" si="60">SUM(BN40,BN44,BN55,BN58,BN61,BN66,BN70,BN77,BN82,BN86:BN87,BN91,BN95:BN96,BN99,BN104,BN108,BN114,BN117:BN119,BN124,BN133:BN137,BN144,BN147:BN148)</f>
        <v>462297</v>
      </c>
      <c r="BO149" s="10">
        <f t="shared" si="60"/>
        <v>72745</v>
      </c>
      <c r="BP149" s="10">
        <f t="shared" si="60"/>
        <v>350311</v>
      </c>
      <c r="BQ149" s="10">
        <f t="shared" si="60"/>
        <v>183842.67</v>
      </c>
      <c r="BR149" s="10">
        <f t="shared" si="60"/>
        <v>2555227.46</v>
      </c>
      <c r="BS149" s="10">
        <f t="shared" si="60"/>
        <v>4255674.62</v>
      </c>
      <c r="BT149" s="10">
        <f t="shared" si="60"/>
        <v>368682.89</v>
      </c>
      <c r="BU149" s="10">
        <f t="shared" si="60"/>
        <v>231365.52</v>
      </c>
      <c r="BV149" s="10">
        <f t="shared" si="60"/>
        <v>115339.27</v>
      </c>
      <c r="BW149" s="10">
        <f t="shared" si="60"/>
        <v>412337.41000000003</v>
      </c>
      <c r="BX149" s="10">
        <f t="shared" si="60"/>
        <v>413899.61</v>
      </c>
      <c r="BY149" s="10">
        <f t="shared" si="60"/>
        <v>264267.76</v>
      </c>
      <c r="BZ149" s="10">
        <f t="shared" si="60"/>
        <v>18570685.810000002</v>
      </c>
    </row>
    <row r="150" spans="1:78">
      <c r="A150" s="18" t="s">
        <v>227</v>
      </c>
      <c r="B150" s="14">
        <f t="shared" ref="B150:BM150" si="61">B34-B149</f>
        <v>0</v>
      </c>
      <c r="C150" s="14">
        <f t="shared" si="61"/>
        <v>14188.581623999984</v>
      </c>
      <c r="D150" s="14">
        <f t="shared" si="61"/>
        <v>-30061.782224000024</v>
      </c>
      <c r="E150" s="14">
        <f t="shared" si="61"/>
        <v>-29439.384736000004</v>
      </c>
      <c r="F150" s="14">
        <f t="shared" si="61"/>
        <v>-9188.0948960000096</v>
      </c>
      <c r="G150" s="14">
        <f t="shared" si="61"/>
        <v>27126.638495999996</v>
      </c>
      <c r="H150" s="14">
        <f t="shared" si="61"/>
        <v>-1987.7132319999946</v>
      </c>
      <c r="I150" s="14">
        <f t="shared" si="61"/>
        <v>55184.698136000021</v>
      </c>
      <c r="J150" s="14">
        <f t="shared" si="61"/>
        <v>76713.251928000012</v>
      </c>
      <c r="K150" s="14">
        <f t="shared" si="61"/>
        <v>3811.3591599999927</v>
      </c>
      <c r="L150" s="14">
        <f t="shared" si="61"/>
        <v>-527.54616800000076</v>
      </c>
      <c r="M150" s="14">
        <f t="shared" si="61"/>
        <v>31164.946735999991</v>
      </c>
      <c r="N150" s="14">
        <f t="shared" si="61"/>
        <v>24160.432191999949</v>
      </c>
      <c r="O150" s="14">
        <f t="shared" si="61"/>
        <v>11284.853480000005</v>
      </c>
      <c r="P150" s="14">
        <f t="shared" si="61"/>
        <v>-758.07025600000009</v>
      </c>
      <c r="Q150" s="14">
        <f t="shared" si="61"/>
        <v>-1107.0153680000001</v>
      </c>
      <c r="R150" s="14">
        <f t="shared" si="61"/>
        <v>-1107.075368</v>
      </c>
      <c r="S150" s="14">
        <f t="shared" si="61"/>
        <v>9924.1549200000009</v>
      </c>
      <c r="T150" s="14">
        <f t="shared" si="61"/>
        <v>-787.61530400000004</v>
      </c>
      <c r="U150" s="14">
        <f t="shared" si="61"/>
        <v>-405.37185600000521</v>
      </c>
      <c r="V150" s="14">
        <f t="shared" si="61"/>
        <v>0</v>
      </c>
      <c r="W150" s="14">
        <f t="shared" si="61"/>
        <v>0</v>
      </c>
      <c r="X150" s="14">
        <f t="shared" si="61"/>
        <v>5879.4643999999971</v>
      </c>
      <c r="Y150" s="14">
        <f t="shared" si="61"/>
        <v>0</v>
      </c>
      <c r="Z150" s="14">
        <f t="shared" si="61"/>
        <v>0</v>
      </c>
      <c r="AA150" s="14">
        <f t="shared" si="61"/>
        <v>0</v>
      </c>
      <c r="AB150" s="14">
        <f t="shared" si="61"/>
        <v>10674.643527999986</v>
      </c>
      <c r="AC150" s="14">
        <f t="shared" si="61"/>
        <v>0</v>
      </c>
      <c r="AD150" s="14">
        <f t="shared" si="61"/>
        <v>137.91999999999996</v>
      </c>
      <c r="AE150" s="14">
        <f t="shared" si="61"/>
        <v>-403.86000000000013</v>
      </c>
      <c r="AF150" s="14">
        <f t="shared" si="61"/>
        <v>85475.324743999867</v>
      </c>
      <c r="AG150" s="14">
        <f t="shared" si="61"/>
        <v>7700.6853600000031</v>
      </c>
      <c r="AH150" s="14">
        <f t="shared" si="61"/>
        <v>-98.909999999999854</v>
      </c>
      <c r="AI150" s="14">
        <f t="shared" si="61"/>
        <v>16974.32</v>
      </c>
      <c r="AJ150" s="14">
        <f t="shared" si="61"/>
        <v>10874.89</v>
      </c>
      <c r="AK150" s="14">
        <f t="shared" si="61"/>
        <v>-4826.9300000000039</v>
      </c>
      <c r="AL150" s="14">
        <f t="shared" si="61"/>
        <v>-1746.6999999999825</v>
      </c>
      <c r="AM150" s="14">
        <f t="shared" si="61"/>
        <v>-100</v>
      </c>
      <c r="AN150" s="14">
        <f t="shared" si="61"/>
        <v>-569.83999999998923</v>
      </c>
      <c r="AO150" s="14">
        <f t="shared" si="61"/>
        <v>500</v>
      </c>
      <c r="AP150" s="14">
        <f t="shared" si="61"/>
        <v>-2934.5909280000001</v>
      </c>
      <c r="AQ150" s="14">
        <f t="shared" si="61"/>
        <v>61164.54</v>
      </c>
      <c r="AR150" s="14">
        <f t="shared" si="61"/>
        <v>790.84</v>
      </c>
      <c r="AS150" s="14">
        <f t="shared" si="61"/>
        <v>3907.6800000000003</v>
      </c>
      <c r="AT150" s="14">
        <f t="shared" si="61"/>
        <v>-4541.3300000000008</v>
      </c>
      <c r="AU150" s="14">
        <f t="shared" si="61"/>
        <v>0</v>
      </c>
      <c r="AV150" s="14">
        <f t="shared" si="61"/>
        <v>49162.167312000005</v>
      </c>
      <c r="AW150" s="14">
        <f t="shared" si="61"/>
        <v>0</v>
      </c>
      <c r="AX150" s="14">
        <f t="shared" si="61"/>
        <v>1000.19</v>
      </c>
      <c r="AY150" s="14">
        <f t="shared" si="61"/>
        <v>1778.9219679999806</v>
      </c>
      <c r="AZ150" s="14">
        <f t="shared" si="61"/>
        <v>-21077.200639999999</v>
      </c>
      <c r="BA150" s="14">
        <f t="shared" si="61"/>
        <v>60049.600000000006</v>
      </c>
      <c r="BB150" s="14">
        <f t="shared" si="61"/>
        <v>-5560.59</v>
      </c>
      <c r="BC150" s="14">
        <f t="shared" si="61"/>
        <v>-7335.5700000000024</v>
      </c>
      <c r="BD150" s="14">
        <f t="shared" si="61"/>
        <v>-6174.01</v>
      </c>
      <c r="BE150" s="14">
        <f t="shared" si="61"/>
        <v>22366.939999999995</v>
      </c>
      <c r="BF150" s="14">
        <f t="shared" si="61"/>
        <v>-661.24300800000492</v>
      </c>
      <c r="BG150" s="14">
        <f t="shared" si="61"/>
        <v>-14434.01</v>
      </c>
      <c r="BH150" s="14">
        <f t="shared" si="61"/>
        <v>-928.13</v>
      </c>
      <c r="BI150" s="14">
        <f t="shared" si="61"/>
        <v>0</v>
      </c>
      <c r="BJ150" s="14">
        <f t="shared" si="61"/>
        <v>0</v>
      </c>
      <c r="BK150" s="14">
        <f t="shared" si="61"/>
        <v>0</v>
      </c>
      <c r="BL150" s="14">
        <f t="shared" si="61"/>
        <v>0</v>
      </c>
      <c r="BM150" s="14">
        <f t="shared" si="61"/>
        <v>0</v>
      </c>
      <c r="BN150" s="14">
        <f t="shared" ref="BN150:BZ150" si="62">BN34-BN149</f>
        <v>0</v>
      </c>
      <c r="BO150" s="14">
        <f t="shared" si="62"/>
        <v>0</v>
      </c>
      <c r="BP150" s="14">
        <f t="shared" si="62"/>
        <v>0</v>
      </c>
      <c r="BQ150" s="14">
        <f t="shared" si="62"/>
        <v>0</v>
      </c>
      <c r="BR150" s="14">
        <f t="shared" si="62"/>
        <v>0</v>
      </c>
      <c r="BS150" s="14">
        <f t="shared" si="62"/>
        <v>0</v>
      </c>
      <c r="BT150" s="14">
        <f t="shared" si="62"/>
        <v>0</v>
      </c>
      <c r="BU150" s="14">
        <f t="shared" si="62"/>
        <v>0</v>
      </c>
      <c r="BV150" s="14">
        <f t="shared" si="62"/>
        <v>0</v>
      </c>
      <c r="BW150" s="14">
        <f t="shared" si="62"/>
        <v>0</v>
      </c>
      <c r="BX150" s="14">
        <f t="shared" si="62"/>
        <v>0</v>
      </c>
      <c r="BY150" s="14">
        <f t="shared" si="62"/>
        <v>0</v>
      </c>
      <c r="BZ150" s="14">
        <f t="shared" si="62"/>
        <v>445234.45999999717</v>
      </c>
    </row>
    <row r="151" spans="1:78">
      <c r="A151" s="18" t="s">
        <v>228</v>
      </c>
      <c r="B151" s="14">
        <f t="shared" ref="B151:BM151" si="63">B150+0</f>
        <v>0</v>
      </c>
      <c r="C151" s="14">
        <f t="shared" si="63"/>
        <v>14188.581623999984</v>
      </c>
      <c r="D151" s="14">
        <f t="shared" si="63"/>
        <v>-30061.782224000024</v>
      </c>
      <c r="E151" s="14">
        <f t="shared" si="63"/>
        <v>-29439.384736000004</v>
      </c>
      <c r="F151" s="14">
        <f t="shared" si="63"/>
        <v>-9188.0948960000096</v>
      </c>
      <c r="G151" s="14">
        <f t="shared" si="63"/>
        <v>27126.638495999996</v>
      </c>
      <c r="H151" s="14">
        <f t="shared" si="63"/>
        <v>-1987.7132319999946</v>
      </c>
      <c r="I151" s="14">
        <f t="shared" si="63"/>
        <v>55184.698136000021</v>
      </c>
      <c r="J151" s="14">
        <f t="shared" si="63"/>
        <v>76713.251928000012</v>
      </c>
      <c r="K151" s="14">
        <f t="shared" si="63"/>
        <v>3811.3591599999927</v>
      </c>
      <c r="L151" s="14">
        <f t="shared" si="63"/>
        <v>-527.54616800000076</v>
      </c>
      <c r="M151" s="14">
        <f t="shared" si="63"/>
        <v>31164.946735999991</v>
      </c>
      <c r="N151" s="14">
        <f t="shared" si="63"/>
        <v>24160.432191999949</v>
      </c>
      <c r="O151" s="14">
        <f t="shared" si="63"/>
        <v>11284.853480000005</v>
      </c>
      <c r="P151" s="14">
        <f t="shared" si="63"/>
        <v>-758.07025600000009</v>
      </c>
      <c r="Q151" s="14">
        <f t="shared" si="63"/>
        <v>-1107.0153680000001</v>
      </c>
      <c r="R151" s="14">
        <f t="shared" si="63"/>
        <v>-1107.075368</v>
      </c>
      <c r="S151" s="14">
        <f t="shared" si="63"/>
        <v>9924.1549200000009</v>
      </c>
      <c r="T151" s="14">
        <f t="shared" si="63"/>
        <v>-787.61530400000004</v>
      </c>
      <c r="U151" s="14">
        <f t="shared" si="63"/>
        <v>-405.37185600000521</v>
      </c>
      <c r="V151" s="14">
        <f t="shared" si="63"/>
        <v>0</v>
      </c>
      <c r="W151" s="14">
        <f t="shared" si="63"/>
        <v>0</v>
      </c>
      <c r="X151" s="14">
        <f t="shared" si="63"/>
        <v>5879.4643999999971</v>
      </c>
      <c r="Y151" s="14">
        <f t="shared" si="63"/>
        <v>0</v>
      </c>
      <c r="Z151" s="14">
        <f t="shared" si="63"/>
        <v>0</v>
      </c>
      <c r="AA151" s="14">
        <f t="shared" si="63"/>
        <v>0</v>
      </c>
      <c r="AB151" s="14">
        <f t="shared" si="63"/>
        <v>10674.643527999986</v>
      </c>
      <c r="AC151" s="14">
        <f t="shared" si="63"/>
        <v>0</v>
      </c>
      <c r="AD151" s="14">
        <f t="shared" si="63"/>
        <v>137.91999999999996</v>
      </c>
      <c r="AE151" s="14">
        <f t="shared" si="63"/>
        <v>-403.86000000000013</v>
      </c>
      <c r="AF151" s="14">
        <f t="shared" si="63"/>
        <v>85475.324743999867</v>
      </c>
      <c r="AG151" s="14">
        <f t="shared" si="63"/>
        <v>7700.6853600000031</v>
      </c>
      <c r="AH151" s="14">
        <f t="shared" si="63"/>
        <v>-98.909999999999854</v>
      </c>
      <c r="AI151" s="14">
        <f t="shared" si="63"/>
        <v>16974.32</v>
      </c>
      <c r="AJ151" s="14">
        <f t="shared" si="63"/>
        <v>10874.89</v>
      </c>
      <c r="AK151" s="14">
        <f t="shared" si="63"/>
        <v>-4826.9300000000039</v>
      </c>
      <c r="AL151" s="14">
        <f t="shared" si="63"/>
        <v>-1746.6999999999825</v>
      </c>
      <c r="AM151" s="14">
        <f t="shared" si="63"/>
        <v>-100</v>
      </c>
      <c r="AN151" s="14">
        <f t="shared" si="63"/>
        <v>-569.83999999998923</v>
      </c>
      <c r="AO151" s="14">
        <f t="shared" si="63"/>
        <v>500</v>
      </c>
      <c r="AP151" s="14">
        <f t="shared" si="63"/>
        <v>-2934.5909280000001</v>
      </c>
      <c r="AQ151" s="14">
        <f t="shared" si="63"/>
        <v>61164.54</v>
      </c>
      <c r="AR151" s="14">
        <f t="shared" si="63"/>
        <v>790.84</v>
      </c>
      <c r="AS151" s="14">
        <f t="shared" si="63"/>
        <v>3907.6800000000003</v>
      </c>
      <c r="AT151" s="14">
        <f t="shared" si="63"/>
        <v>-4541.3300000000008</v>
      </c>
      <c r="AU151" s="14">
        <f t="shared" si="63"/>
        <v>0</v>
      </c>
      <c r="AV151" s="14">
        <f t="shared" si="63"/>
        <v>49162.167312000005</v>
      </c>
      <c r="AW151" s="14">
        <f t="shared" si="63"/>
        <v>0</v>
      </c>
      <c r="AX151" s="14">
        <f t="shared" si="63"/>
        <v>1000.19</v>
      </c>
      <c r="AY151" s="14">
        <f t="shared" si="63"/>
        <v>1778.9219679999806</v>
      </c>
      <c r="AZ151" s="14">
        <f t="shared" si="63"/>
        <v>-21077.200639999999</v>
      </c>
      <c r="BA151" s="14">
        <f t="shared" si="63"/>
        <v>60049.600000000006</v>
      </c>
      <c r="BB151" s="14">
        <f t="shared" si="63"/>
        <v>-5560.59</v>
      </c>
      <c r="BC151" s="14">
        <f t="shared" si="63"/>
        <v>-7335.5700000000024</v>
      </c>
      <c r="BD151" s="14">
        <f t="shared" si="63"/>
        <v>-6174.01</v>
      </c>
      <c r="BE151" s="14">
        <f t="shared" si="63"/>
        <v>22366.939999999995</v>
      </c>
      <c r="BF151" s="14">
        <f t="shared" si="63"/>
        <v>-661.24300800000492</v>
      </c>
      <c r="BG151" s="14">
        <f t="shared" si="63"/>
        <v>-14434.01</v>
      </c>
      <c r="BH151" s="14">
        <f t="shared" si="63"/>
        <v>-928.13</v>
      </c>
      <c r="BI151" s="14">
        <f t="shared" si="63"/>
        <v>0</v>
      </c>
      <c r="BJ151" s="14">
        <f t="shared" si="63"/>
        <v>0</v>
      </c>
      <c r="BK151" s="14">
        <f t="shared" si="63"/>
        <v>0</v>
      </c>
      <c r="BL151" s="14">
        <f t="shared" si="63"/>
        <v>0</v>
      </c>
      <c r="BM151" s="14">
        <f t="shared" si="63"/>
        <v>0</v>
      </c>
      <c r="BN151" s="14">
        <f t="shared" ref="BN151:BZ151" si="64">BN150+0</f>
        <v>0</v>
      </c>
      <c r="BO151" s="14">
        <f t="shared" si="64"/>
        <v>0</v>
      </c>
      <c r="BP151" s="14">
        <f t="shared" si="64"/>
        <v>0</v>
      </c>
      <c r="BQ151" s="14">
        <f t="shared" si="64"/>
        <v>0</v>
      </c>
      <c r="BR151" s="14">
        <f t="shared" si="64"/>
        <v>0</v>
      </c>
      <c r="BS151" s="14">
        <f t="shared" si="64"/>
        <v>0</v>
      </c>
      <c r="BT151" s="14">
        <f t="shared" si="64"/>
        <v>0</v>
      </c>
      <c r="BU151" s="14">
        <f t="shared" si="64"/>
        <v>0</v>
      </c>
      <c r="BV151" s="14">
        <f t="shared" si="64"/>
        <v>0</v>
      </c>
      <c r="BW151" s="14">
        <f t="shared" si="64"/>
        <v>0</v>
      </c>
      <c r="BX151" s="14">
        <f t="shared" si="64"/>
        <v>0</v>
      </c>
      <c r="BY151" s="14">
        <f t="shared" si="64"/>
        <v>0</v>
      </c>
      <c r="BZ151" s="14">
        <f t="shared" si="64"/>
        <v>445234.45999999717</v>
      </c>
    </row>
    <row r="154" spans="1:78">
      <c r="A154" t="s">
        <v>229</v>
      </c>
      <c r="B154">
        <v>0</v>
      </c>
      <c r="C154">
        <v>-12286.81</v>
      </c>
      <c r="D154">
        <v>8497.4599999999991</v>
      </c>
      <c r="E154">
        <v>2.96</v>
      </c>
      <c r="F154">
        <v>1469.13</v>
      </c>
      <c r="G154">
        <v>435.56</v>
      </c>
      <c r="H154">
        <v>4522.6099999999997</v>
      </c>
      <c r="I154">
        <v>2540.13</v>
      </c>
      <c r="J154">
        <v>5190.68</v>
      </c>
      <c r="K154">
        <v>1278.3800000000001</v>
      </c>
      <c r="L154">
        <v>44.91</v>
      </c>
      <c r="M154">
        <v>1228.56</v>
      </c>
      <c r="N154">
        <v>2463.41</v>
      </c>
      <c r="O154">
        <v>15.19</v>
      </c>
      <c r="P154">
        <v>0</v>
      </c>
      <c r="Q154">
        <v>0</v>
      </c>
      <c r="R154">
        <v>0</v>
      </c>
      <c r="S154">
        <v>0.99</v>
      </c>
      <c r="T154">
        <v>0</v>
      </c>
      <c r="U154">
        <v>33.14</v>
      </c>
      <c r="V154">
        <v>0</v>
      </c>
      <c r="W154">
        <v>0</v>
      </c>
      <c r="X154">
        <v>819.55</v>
      </c>
      <c r="Y154">
        <v>0</v>
      </c>
      <c r="Z154">
        <v>155.78</v>
      </c>
      <c r="AA154">
        <v>53.65</v>
      </c>
      <c r="AB154">
        <v>2965.12</v>
      </c>
      <c r="AC154">
        <v>0</v>
      </c>
      <c r="AD154">
        <v>0</v>
      </c>
      <c r="AE154">
        <v>0</v>
      </c>
      <c r="AF154">
        <v>4963.57</v>
      </c>
      <c r="AG154">
        <v>3625.19</v>
      </c>
      <c r="AH154">
        <v>0</v>
      </c>
      <c r="AI154">
        <v>11</v>
      </c>
      <c r="AJ154">
        <v>46.71</v>
      </c>
      <c r="AK154">
        <v>3014.17</v>
      </c>
      <c r="AL154">
        <v>9680.84</v>
      </c>
      <c r="AM154">
        <v>0</v>
      </c>
      <c r="AN154">
        <v>24.06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4.76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1200</v>
      </c>
      <c r="BA154">
        <v>0</v>
      </c>
      <c r="BB154">
        <v>8.09</v>
      </c>
      <c r="BC154">
        <v>5.52</v>
      </c>
      <c r="BD154">
        <v>8.09</v>
      </c>
      <c r="BE154">
        <v>24.85</v>
      </c>
      <c r="BF154">
        <v>21.5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f>SUM(B154:BY154)</f>
        <v>42068.749999999978</v>
      </c>
    </row>
    <row r="155" spans="1:78">
      <c r="A155" s="109" t="s">
        <v>230</v>
      </c>
      <c r="B155" s="109"/>
      <c r="C155" s="109">
        <f>(1497+5439.67)*3</f>
        <v>20810.010000000002</v>
      </c>
    </row>
    <row r="157" spans="1:78">
      <c r="B157">
        <v>0</v>
      </c>
      <c r="C157">
        <f>SUM(C154:C156)</f>
        <v>8523.2000000000025</v>
      </c>
      <c r="D157">
        <f>D154</f>
        <v>8497.4599999999991</v>
      </c>
      <c r="E157">
        <f t="shared" ref="E157:BP157" si="65">E154</f>
        <v>2.96</v>
      </c>
      <c r="F157">
        <f t="shared" si="65"/>
        <v>1469.13</v>
      </c>
      <c r="G157">
        <f t="shared" si="65"/>
        <v>435.56</v>
      </c>
      <c r="H157">
        <f t="shared" si="65"/>
        <v>4522.6099999999997</v>
      </c>
      <c r="I157">
        <f t="shared" si="65"/>
        <v>2540.13</v>
      </c>
      <c r="J157">
        <f t="shared" si="65"/>
        <v>5190.68</v>
      </c>
      <c r="K157">
        <f t="shared" si="65"/>
        <v>1278.3800000000001</v>
      </c>
      <c r="L157">
        <f t="shared" si="65"/>
        <v>44.91</v>
      </c>
      <c r="M157">
        <f t="shared" si="65"/>
        <v>1228.56</v>
      </c>
      <c r="N157">
        <f t="shared" si="65"/>
        <v>2463.41</v>
      </c>
      <c r="O157">
        <f t="shared" si="65"/>
        <v>15.19</v>
      </c>
      <c r="P157">
        <f t="shared" si="65"/>
        <v>0</v>
      </c>
      <c r="Q157">
        <f t="shared" si="65"/>
        <v>0</v>
      </c>
      <c r="R157">
        <f t="shared" si="65"/>
        <v>0</v>
      </c>
      <c r="S157">
        <f t="shared" si="65"/>
        <v>0.99</v>
      </c>
      <c r="T157">
        <f t="shared" si="65"/>
        <v>0</v>
      </c>
      <c r="U157">
        <f t="shared" si="65"/>
        <v>33.14</v>
      </c>
      <c r="V157">
        <f t="shared" si="65"/>
        <v>0</v>
      </c>
      <c r="W157">
        <f t="shared" si="65"/>
        <v>0</v>
      </c>
      <c r="X157">
        <f t="shared" si="65"/>
        <v>819.55</v>
      </c>
      <c r="Y157">
        <f t="shared" si="65"/>
        <v>0</v>
      </c>
      <c r="Z157">
        <f t="shared" si="65"/>
        <v>155.78</v>
      </c>
      <c r="AA157">
        <f t="shared" si="65"/>
        <v>53.65</v>
      </c>
      <c r="AB157">
        <f t="shared" si="65"/>
        <v>2965.12</v>
      </c>
      <c r="AC157">
        <f t="shared" si="65"/>
        <v>0</v>
      </c>
      <c r="AD157">
        <f t="shared" si="65"/>
        <v>0</v>
      </c>
      <c r="AE157">
        <f t="shared" si="65"/>
        <v>0</v>
      </c>
      <c r="AF157">
        <f t="shared" si="65"/>
        <v>4963.57</v>
      </c>
      <c r="AG157">
        <f t="shared" si="65"/>
        <v>3625.19</v>
      </c>
      <c r="AH157">
        <f t="shared" si="65"/>
        <v>0</v>
      </c>
      <c r="AI157">
        <f t="shared" si="65"/>
        <v>11</v>
      </c>
      <c r="AJ157">
        <f t="shared" si="65"/>
        <v>46.71</v>
      </c>
      <c r="AK157">
        <f t="shared" si="65"/>
        <v>3014.17</v>
      </c>
      <c r="AL157">
        <f t="shared" si="65"/>
        <v>9680.84</v>
      </c>
      <c r="AM157">
        <f t="shared" si="65"/>
        <v>0</v>
      </c>
      <c r="AN157">
        <f t="shared" si="65"/>
        <v>24.06</v>
      </c>
      <c r="AO157">
        <f t="shared" si="65"/>
        <v>0</v>
      </c>
      <c r="AP157">
        <f t="shared" si="65"/>
        <v>0</v>
      </c>
      <c r="AQ157">
        <f t="shared" si="65"/>
        <v>0</v>
      </c>
      <c r="AR157">
        <f t="shared" si="65"/>
        <v>0</v>
      </c>
      <c r="AS157">
        <f t="shared" si="65"/>
        <v>0</v>
      </c>
      <c r="AT157">
        <f t="shared" si="65"/>
        <v>4.76</v>
      </c>
      <c r="AU157">
        <f t="shared" si="65"/>
        <v>0</v>
      </c>
      <c r="AV157">
        <f t="shared" si="65"/>
        <v>0</v>
      </c>
      <c r="AW157">
        <f t="shared" si="65"/>
        <v>0</v>
      </c>
      <c r="AX157">
        <f t="shared" si="65"/>
        <v>0</v>
      </c>
      <c r="AY157">
        <f t="shared" si="65"/>
        <v>0</v>
      </c>
      <c r="AZ157">
        <f t="shared" si="65"/>
        <v>1200</v>
      </c>
      <c r="BA157">
        <f t="shared" si="65"/>
        <v>0</v>
      </c>
      <c r="BB157">
        <f t="shared" si="65"/>
        <v>8.09</v>
      </c>
      <c r="BC157">
        <f t="shared" si="65"/>
        <v>5.52</v>
      </c>
      <c r="BD157">
        <f t="shared" si="65"/>
        <v>8.09</v>
      </c>
      <c r="BE157">
        <f t="shared" si="65"/>
        <v>24.85</v>
      </c>
      <c r="BF157">
        <f t="shared" si="65"/>
        <v>21.5</v>
      </c>
      <c r="BG157">
        <f t="shared" si="65"/>
        <v>0</v>
      </c>
      <c r="BH157">
        <f t="shared" si="65"/>
        <v>0</v>
      </c>
      <c r="BI157">
        <f t="shared" si="65"/>
        <v>0</v>
      </c>
      <c r="BJ157">
        <f t="shared" si="65"/>
        <v>0</v>
      </c>
      <c r="BK157">
        <f t="shared" si="65"/>
        <v>0</v>
      </c>
      <c r="BL157">
        <f t="shared" si="65"/>
        <v>0</v>
      </c>
      <c r="BM157">
        <f t="shared" si="65"/>
        <v>0</v>
      </c>
      <c r="BN157">
        <f t="shared" si="65"/>
        <v>0</v>
      </c>
      <c r="BO157">
        <f t="shared" si="65"/>
        <v>0</v>
      </c>
      <c r="BP157">
        <f t="shared" si="65"/>
        <v>0</v>
      </c>
      <c r="BQ157">
        <f t="shared" ref="BQ157:BY157" si="66">BQ154</f>
        <v>0</v>
      </c>
      <c r="BR157">
        <f t="shared" si="66"/>
        <v>0</v>
      </c>
      <c r="BS157">
        <f t="shared" si="66"/>
        <v>0</v>
      </c>
      <c r="BT157">
        <f t="shared" si="66"/>
        <v>0</v>
      </c>
      <c r="BU157">
        <f t="shared" si="66"/>
        <v>0</v>
      </c>
      <c r="BV157">
        <f t="shared" si="66"/>
        <v>0</v>
      </c>
      <c r="BW157">
        <f t="shared" si="66"/>
        <v>0</v>
      </c>
      <c r="BX157">
        <f t="shared" si="66"/>
        <v>0</v>
      </c>
      <c r="BY157">
        <f t="shared" si="66"/>
        <v>0</v>
      </c>
      <c r="BZ157">
        <f>SUM(B157:BY157)</f>
        <v>62878.76</v>
      </c>
    </row>
    <row r="158" spans="1:78">
      <c r="B158" s="110">
        <f>B157/$BZ$157</f>
        <v>0</v>
      </c>
      <c r="C158" s="110">
        <f>C157/$BZ$157</f>
        <v>0.13554974684615284</v>
      </c>
      <c r="D158" s="110">
        <f t="shared" ref="D158:BO158" si="67">D157/$BZ$157</f>
        <v>0.13514038762850919</v>
      </c>
      <c r="E158" s="110">
        <f t="shared" si="67"/>
        <v>4.7074719666863656E-5</v>
      </c>
      <c r="F158" s="110">
        <f t="shared" si="67"/>
        <v>2.3364487467628179E-2</v>
      </c>
      <c r="G158" s="110">
        <f t="shared" si="67"/>
        <v>6.926981384492951E-3</v>
      </c>
      <c r="H158" s="110">
        <f t="shared" si="67"/>
        <v>7.1925877673160207E-2</v>
      </c>
      <c r="I158" s="110">
        <f t="shared" si="67"/>
        <v>4.0397266103848105E-2</v>
      </c>
      <c r="J158" s="110">
        <f t="shared" si="67"/>
        <v>8.2550610094728333E-2</v>
      </c>
      <c r="K158" s="110">
        <f t="shared" si="67"/>
        <v>2.0330871664772016E-2</v>
      </c>
      <c r="L158" s="110">
        <f t="shared" si="67"/>
        <v>7.1423164197258334E-4</v>
      </c>
      <c r="M158" s="110">
        <f t="shared" si="67"/>
        <v>1.953855324118987E-2</v>
      </c>
      <c r="N158" s="110">
        <f t="shared" si="67"/>
        <v>3.9177140261671822E-2</v>
      </c>
      <c r="O158" s="110">
        <f t="shared" si="67"/>
        <v>2.4157601072285776E-4</v>
      </c>
      <c r="P158" s="110">
        <f t="shared" si="67"/>
        <v>0</v>
      </c>
      <c r="Q158" s="110">
        <f t="shared" si="67"/>
        <v>0</v>
      </c>
      <c r="R158" s="110">
        <f t="shared" si="67"/>
        <v>0</v>
      </c>
      <c r="S158" s="110">
        <f t="shared" si="67"/>
        <v>1.5744585293984804E-5</v>
      </c>
      <c r="T158" s="110">
        <f t="shared" si="67"/>
        <v>0</v>
      </c>
      <c r="U158" s="110">
        <f t="shared" si="67"/>
        <v>5.2704601681076403E-4</v>
      </c>
      <c r="V158" s="110">
        <f t="shared" si="67"/>
        <v>0</v>
      </c>
      <c r="W158" s="110">
        <f t="shared" si="67"/>
        <v>0</v>
      </c>
      <c r="X158" s="110">
        <f t="shared" si="67"/>
        <v>1.3033813007762875E-2</v>
      </c>
      <c r="Y158" s="110">
        <f t="shared" si="67"/>
        <v>0</v>
      </c>
      <c r="Z158" s="110">
        <f t="shared" si="67"/>
        <v>2.4774661586837907E-3</v>
      </c>
      <c r="AA158" s="110">
        <f t="shared" si="67"/>
        <v>8.5322929396190381E-4</v>
      </c>
      <c r="AB158" s="110">
        <f t="shared" si="67"/>
        <v>4.715614620899012E-2</v>
      </c>
      <c r="AC158" s="110">
        <f t="shared" si="67"/>
        <v>0</v>
      </c>
      <c r="AD158" s="110">
        <f t="shared" si="67"/>
        <v>0</v>
      </c>
      <c r="AE158" s="110">
        <f t="shared" si="67"/>
        <v>0</v>
      </c>
      <c r="AF158" s="110">
        <f t="shared" si="67"/>
        <v>7.893873861380217E-2</v>
      </c>
      <c r="AG158" s="110">
        <f t="shared" si="67"/>
        <v>5.7653649658485628E-2</v>
      </c>
      <c r="AH158" s="110">
        <f t="shared" si="67"/>
        <v>0</v>
      </c>
      <c r="AI158" s="110">
        <f t="shared" si="67"/>
        <v>1.7493983659983117E-4</v>
      </c>
      <c r="AJ158" s="110">
        <f t="shared" si="67"/>
        <v>7.4285816068891941E-4</v>
      </c>
      <c r="AK158" s="110">
        <f t="shared" si="67"/>
        <v>4.7936218844010281E-2</v>
      </c>
      <c r="AL158" s="110">
        <f t="shared" si="67"/>
        <v>0.15396041524991905</v>
      </c>
      <c r="AM158" s="110">
        <f t="shared" si="67"/>
        <v>0</v>
      </c>
      <c r="AN158" s="110">
        <f t="shared" si="67"/>
        <v>3.8264113350835793E-4</v>
      </c>
      <c r="AO158" s="110">
        <f t="shared" si="67"/>
        <v>0</v>
      </c>
      <c r="AP158" s="110">
        <f t="shared" si="67"/>
        <v>0</v>
      </c>
      <c r="AQ158" s="110">
        <f t="shared" si="67"/>
        <v>0</v>
      </c>
      <c r="AR158" s="110">
        <f t="shared" si="67"/>
        <v>0</v>
      </c>
      <c r="AS158" s="110">
        <f t="shared" si="67"/>
        <v>0</v>
      </c>
      <c r="AT158" s="110">
        <f t="shared" si="67"/>
        <v>7.5701238383199667E-5</v>
      </c>
      <c r="AU158" s="110">
        <f t="shared" si="67"/>
        <v>0</v>
      </c>
      <c r="AV158" s="110">
        <f t="shared" si="67"/>
        <v>0</v>
      </c>
      <c r="AW158" s="110">
        <f t="shared" si="67"/>
        <v>0</v>
      </c>
      <c r="AX158" s="110">
        <f t="shared" si="67"/>
        <v>0</v>
      </c>
      <c r="AY158" s="110">
        <f t="shared" si="67"/>
        <v>0</v>
      </c>
      <c r="AZ158" s="110">
        <f t="shared" si="67"/>
        <v>1.9084345810890673E-2</v>
      </c>
      <c r="BA158" s="110">
        <f t="shared" si="67"/>
        <v>0</v>
      </c>
      <c r="BB158" s="110">
        <f t="shared" si="67"/>
        <v>1.2866029800842128E-4</v>
      </c>
      <c r="BC158" s="110">
        <f t="shared" si="67"/>
        <v>8.7787990730097087E-5</v>
      </c>
      <c r="BD158" s="110">
        <f t="shared" si="67"/>
        <v>1.2866029800842128E-4</v>
      </c>
      <c r="BE158" s="110">
        <f t="shared" si="67"/>
        <v>3.9520499450052768E-4</v>
      </c>
      <c r="BF158" s="110">
        <f t="shared" si="67"/>
        <v>3.4192786244512455E-4</v>
      </c>
      <c r="BG158" s="110">
        <f t="shared" si="67"/>
        <v>0</v>
      </c>
      <c r="BH158" s="110">
        <f t="shared" si="67"/>
        <v>0</v>
      </c>
      <c r="BI158" s="110">
        <f t="shared" si="67"/>
        <v>0</v>
      </c>
      <c r="BJ158" s="110">
        <f t="shared" si="67"/>
        <v>0</v>
      </c>
      <c r="BK158" s="110">
        <f t="shared" si="67"/>
        <v>0</v>
      </c>
      <c r="BL158" s="110">
        <f t="shared" si="67"/>
        <v>0</v>
      </c>
      <c r="BM158" s="110">
        <f t="shared" si="67"/>
        <v>0</v>
      </c>
      <c r="BN158" s="110">
        <f t="shared" si="67"/>
        <v>0</v>
      </c>
      <c r="BO158" s="110">
        <f t="shared" si="67"/>
        <v>0</v>
      </c>
      <c r="BP158" s="110">
        <f t="shared" ref="BP158:BY158" si="68">BP157/$BZ$157</f>
        <v>0</v>
      </c>
      <c r="BQ158" s="110">
        <f t="shared" si="68"/>
        <v>0</v>
      </c>
      <c r="BR158" s="110">
        <f t="shared" si="68"/>
        <v>0</v>
      </c>
      <c r="BS158" s="110">
        <f t="shared" si="68"/>
        <v>0</v>
      </c>
      <c r="BT158" s="110">
        <f t="shared" si="68"/>
        <v>0</v>
      </c>
      <c r="BU158" s="110">
        <f t="shared" si="68"/>
        <v>0</v>
      </c>
      <c r="BV158" s="110">
        <f t="shared" si="68"/>
        <v>0</v>
      </c>
      <c r="BW158" s="110">
        <f t="shared" si="68"/>
        <v>0</v>
      </c>
      <c r="BX158" s="110">
        <f t="shared" si="68"/>
        <v>0</v>
      </c>
      <c r="BY158" s="110">
        <f t="shared" si="68"/>
        <v>0</v>
      </c>
      <c r="BZ158" s="110">
        <f>SUM(B158:BY158)</f>
        <v>0.99999999999999989</v>
      </c>
    </row>
    <row r="160" spans="1:78">
      <c r="A160" t="s">
        <v>231</v>
      </c>
      <c r="B160" s="83">
        <f>$C$155*B158</f>
        <v>0</v>
      </c>
      <c r="C160" s="83">
        <f t="shared" ref="C160:BN160" si="69">$C$155*C158</f>
        <v>2820.7915873659094</v>
      </c>
      <c r="D160" s="83">
        <f t="shared" si="69"/>
        <v>2812.2728179531528</v>
      </c>
      <c r="E160" s="83">
        <f t="shared" si="69"/>
        <v>0.97962538701462942</v>
      </c>
      <c r="F160" s="83">
        <f t="shared" si="69"/>
        <v>486.21521784621712</v>
      </c>
      <c r="G160" s="83">
        <f t="shared" si="69"/>
        <v>144.15055188111216</v>
      </c>
      <c r="H160" s="83">
        <f t="shared" si="69"/>
        <v>1496.7782336372409</v>
      </c>
      <c r="I160" s="83">
        <f t="shared" si="69"/>
        <v>840.66751159374019</v>
      </c>
      <c r="J160" s="83">
        <f t="shared" si="69"/>
        <v>1717.8790215773977</v>
      </c>
      <c r="K160" s="83">
        <f t="shared" si="69"/>
        <v>423.08564265262231</v>
      </c>
      <c r="L160" s="83">
        <f t="shared" si="69"/>
        <v>14.863167611765881</v>
      </c>
      <c r="M160" s="83">
        <f t="shared" si="69"/>
        <v>406.59748833469365</v>
      </c>
      <c r="N160" s="83">
        <f t="shared" si="69"/>
        <v>815.27668061679333</v>
      </c>
      <c r="O160" s="83">
        <f t="shared" si="69"/>
        <v>5.0271991989027773</v>
      </c>
      <c r="P160" s="83">
        <f t="shared" si="69"/>
        <v>0</v>
      </c>
      <c r="Q160" s="83">
        <f t="shared" si="69"/>
        <v>0</v>
      </c>
      <c r="R160" s="83">
        <f t="shared" si="69"/>
        <v>0</v>
      </c>
      <c r="S160" s="83">
        <f t="shared" si="69"/>
        <v>0.32764497741367676</v>
      </c>
      <c r="T160" s="83">
        <f t="shared" si="69"/>
        <v>0</v>
      </c>
      <c r="U160" s="83">
        <f t="shared" si="69"/>
        <v>10.967832880292169</v>
      </c>
      <c r="V160" s="83">
        <f t="shared" si="69"/>
        <v>0</v>
      </c>
      <c r="W160" s="83">
        <f t="shared" si="69"/>
        <v>0</v>
      </c>
      <c r="X160" s="83">
        <f t="shared" si="69"/>
        <v>271.23377902967553</v>
      </c>
      <c r="Y160" s="83">
        <f t="shared" si="69"/>
        <v>0</v>
      </c>
      <c r="Z160" s="83">
        <f t="shared" si="69"/>
        <v>51.556095536871275</v>
      </c>
      <c r="AA160" s="83">
        <f t="shared" si="69"/>
        <v>17.755710139640161</v>
      </c>
      <c r="AB160" s="83">
        <f t="shared" si="69"/>
        <v>981.31987417054654</v>
      </c>
      <c r="AC160" s="83">
        <f t="shared" si="69"/>
        <v>0</v>
      </c>
      <c r="AD160" s="83">
        <f t="shared" si="69"/>
        <v>0</v>
      </c>
      <c r="AE160" s="83">
        <f t="shared" si="69"/>
        <v>0</v>
      </c>
      <c r="AF160" s="83">
        <f t="shared" si="69"/>
        <v>1642.7159399406094</v>
      </c>
      <c r="AG160" s="83">
        <f t="shared" si="69"/>
        <v>1199.7730259295827</v>
      </c>
      <c r="AH160" s="83">
        <f t="shared" si="69"/>
        <v>0</v>
      </c>
      <c r="AI160" s="83">
        <f t="shared" si="69"/>
        <v>3.6404997490408531</v>
      </c>
      <c r="AJ160" s="83">
        <f t="shared" si="69"/>
        <v>15.458885752518022</v>
      </c>
      <c r="AK160" s="83">
        <f t="shared" si="69"/>
        <v>997.55319350604248</v>
      </c>
      <c r="AL160" s="83">
        <f t="shared" si="69"/>
        <v>3203.9177809549683</v>
      </c>
      <c r="AM160" s="83">
        <f t="shared" si="69"/>
        <v>0</v>
      </c>
      <c r="AN160" s="83">
        <f t="shared" si="69"/>
        <v>7.9627658147202647</v>
      </c>
      <c r="AO160" s="83">
        <f t="shared" si="69"/>
        <v>0</v>
      </c>
      <c r="AP160" s="83">
        <f t="shared" si="69"/>
        <v>0</v>
      </c>
      <c r="AQ160" s="83">
        <f t="shared" si="69"/>
        <v>0</v>
      </c>
      <c r="AR160" s="83">
        <f t="shared" si="69"/>
        <v>0</v>
      </c>
      <c r="AS160" s="83">
        <f t="shared" si="69"/>
        <v>0</v>
      </c>
      <c r="AT160" s="83">
        <f t="shared" si="69"/>
        <v>1.5753435277667691</v>
      </c>
      <c r="AU160" s="83">
        <f t="shared" si="69"/>
        <v>0</v>
      </c>
      <c r="AV160" s="83">
        <f t="shared" si="69"/>
        <v>0</v>
      </c>
      <c r="AW160" s="83">
        <f t="shared" si="69"/>
        <v>0</v>
      </c>
      <c r="AX160" s="83">
        <f t="shared" si="69"/>
        <v>0</v>
      </c>
      <c r="AY160" s="83">
        <f t="shared" si="69"/>
        <v>0</v>
      </c>
      <c r="AZ160" s="83">
        <f t="shared" si="69"/>
        <v>397.14542716809308</v>
      </c>
      <c r="BA160" s="83">
        <f t="shared" si="69"/>
        <v>0</v>
      </c>
      <c r="BB160" s="83">
        <f t="shared" si="69"/>
        <v>2.6774220881582269</v>
      </c>
      <c r="BC160" s="83">
        <f t="shared" si="69"/>
        <v>1.8268689649732279</v>
      </c>
      <c r="BD160" s="83">
        <f t="shared" si="69"/>
        <v>2.6774220881582269</v>
      </c>
      <c r="BE160" s="83">
        <f t="shared" si="69"/>
        <v>8.2242198876059263</v>
      </c>
      <c r="BF160" s="83">
        <f t="shared" si="69"/>
        <v>7.1155222367616666</v>
      </c>
      <c r="BG160" s="83">
        <f t="shared" si="69"/>
        <v>0</v>
      </c>
      <c r="BH160" s="83">
        <f t="shared" si="69"/>
        <v>0</v>
      </c>
      <c r="BI160" s="83">
        <f t="shared" si="69"/>
        <v>0</v>
      </c>
      <c r="BJ160" s="83">
        <f t="shared" si="69"/>
        <v>0</v>
      </c>
      <c r="BK160" s="83">
        <f t="shared" si="69"/>
        <v>0</v>
      </c>
      <c r="BL160" s="83">
        <f t="shared" si="69"/>
        <v>0</v>
      </c>
      <c r="BM160" s="83">
        <f t="shared" si="69"/>
        <v>0</v>
      </c>
      <c r="BN160" s="83">
        <f t="shared" si="69"/>
        <v>0</v>
      </c>
      <c r="BO160" s="83">
        <f t="shared" ref="BO160:BY160" si="70">$C$155*BO158</f>
        <v>0</v>
      </c>
      <c r="BP160" s="83">
        <f t="shared" si="70"/>
        <v>0</v>
      </c>
      <c r="BQ160" s="83">
        <f t="shared" si="70"/>
        <v>0</v>
      </c>
      <c r="BR160" s="83">
        <f t="shared" si="70"/>
        <v>0</v>
      </c>
      <c r="BS160" s="83">
        <f t="shared" si="70"/>
        <v>0</v>
      </c>
      <c r="BT160" s="83">
        <f t="shared" si="70"/>
        <v>0</v>
      </c>
      <c r="BU160" s="83">
        <f t="shared" si="70"/>
        <v>0</v>
      </c>
      <c r="BV160" s="83">
        <f t="shared" si="70"/>
        <v>0</v>
      </c>
      <c r="BW160" s="83">
        <f t="shared" si="70"/>
        <v>0</v>
      </c>
      <c r="BX160" s="83">
        <f t="shared" si="70"/>
        <v>0</v>
      </c>
      <c r="BY160" s="83">
        <f t="shared" si="70"/>
        <v>0</v>
      </c>
      <c r="BZ160">
        <f>SUM(B160:BY160)</f>
        <v>20810.010000000006</v>
      </c>
    </row>
    <row r="162" spans="1:84">
      <c r="A162" t="s">
        <v>232</v>
      </c>
      <c r="B162" s="83">
        <v>0</v>
      </c>
      <c r="C162" s="83">
        <f>C157-C160</f>
        <v>5702.4084126340931</v>
      </c>
      <c r="D162" s="83">
        <f>D154-D160</f>
        <v>5685.1871820468459</v>
      </c>
      <c r="E162" s="83">
        <f t="shared" ref="E162:BP162" si="71">E154-E160</f>
        <v>1.9803746129853705</v>
      </c>
      <c r="F162" s="83">
        <f t="shared" si="71"/>
        <v>982.91478215378299</v>
      </c>
      <c r="G162" s="83">
        <f t="shared" si="71"/>
        <v>291.40944811888784</v>
      </c>
      <c r="H162" s="83">
        <f t="shared" si="71"/>
        <v>3025.8317663627586</v>
      </c>
      <c r="I162" s="83">
        <f t="shared" si="71"/>
        <v>1699.46248840626</v>
      </c>
      <c r="J162" s="83">
        <f t="shared" si="71"/>
        <v>3472.8009784226024</v>
      </c>
      <c r="K162" s="83">
        <f t="shared" si="71"/>
        <v>855.29435734737785</v>
      </c>
      <c r="L162" s="83">
        <f t="shared" si="71"/>
        <v>30.046832388234115</v>
      </c>
      <c r="M162" s="83">
        <f t="shared" si="71"/>
        <v>821.96251166530624</v>
      </c>
      <c r="N162" s="83">
        <f t="shared" si="71"/>
        <v>1648.1333193832065</v>
      </c>
      <c r="O162" s="83">
        <f t="shared" si="71"/>
        <v>10.162800801097223</v>
      </c>
      <c r="P162" s="83">
        <f t="shared" si="71"/>
        <v>0</v>
      </c>
      <c r="Q162" s="83">
        <f t="shared" si="71"/>
        <v>0</v>
      </c>
      <c r="R162" s="83">
        <f t="shared" si="71"/>
        <v>0</v>
      </c>
      <c r="S162" s="83">
        <f t="shared" si="71"/>
        <v>0.66235502258632328</v>
      </c>
      <c r="T162" s="83">
        <f t="shared" si="71"/>
        <v>0</v>
      </c>
      <c r="U162" s="83">
        <f t="shared" si="71"/>
        <v>22.172167119707829</v>
      </c>
      <c r="V162" s="83">
        <f t="shared" si="71"/>
        <v>0</v>
      </c>
      <c r="W162" s="83">
        <f t="shared" si="71"/>
        <v>0</v>
      </c>
      <c r="X162" s="83">
        <f t="shared" si="71"/>
        <v>548.31622097032437</v>
      </c>
      <c r="Y162" s="83">
        <f t="shared" si="71"/>
        <v>0</v>
      </c>
      <c r="Z162" s="83">
        <f t="shared" si="71"/>
        <v>104.22390446312872</v>
      </c>
      <c r="AA162" s="83">
        <f t="shared" si="71"/>
        <v>35.894289860359834</v>
      </c>
      <c r="AB162" s="83">
        <f t="shared" si="71"/>
        <v>1983.8001258294535</v>
      </c>
      <c r="AC162" s="83">
        <f t="shared" si="71"/>
        <v>0</v>
      </c>
      <c r="AD162" s="83">
        <f t="shared" si="71"/>
        <v>0</v>
      </c>
      <c r="AE162" s="83">
        <f t="shared" si="71"/>
        <v>0</v>
      </c>
      <c r="AF162" s="83">
        <f t="shared" si="71"/>
        <v>3320.8540600593906</v>
      </c>
      <c r="AG162" s="83">
        <f t="shared" si="71"/>
        <v>2425.4169740704174</v>
      </c>
      <c r="AH162" s="83">
        <f t="shared" si="71"/>
        <v>0</v>
      </c>
      <c r="AI162" s="83">
        <f t="shared" si="71"/>
        <v>7.3595002509591474</v>
      </c>
      <c r="AJ162" s="83">
        <f t="shared" si="71"/>
        <v>31.251114247481979</v>
      </c>
      <c r="AK162" s="83">
        <f t="shared" si="71"/>
        <v>2016.6168064939575</v>
      </c>
      <c r="AL162" s="83">
        <f t="shared" si="71"/>
        <v>6476.9222190450319</v>
      </c>
      <c r="AM162" s="83">
        <f t="shared" si="71"/>
        <v>0</v>
      </c>
      <c r="AN162" s="83">
        <f t="shared" si="71"/>
        <v>16.097234185279735</v>
      </c>
      <c r="AO162" s="83">
        <f t="shared" si="71"/>
        <v>0</v>
      </c>
      <c r="AP162" s="83">
        <f t="shared" si="71"/>
        <v>0</v>
      </c>
      <c r="AQ162" s="83">
        <f t="shared" si="71"/>
        <v>0</v>
      </c>
      <c r="AR162" s="83">
        <f t="shared" si="71"/>
        <v>0</v>
      </c>
      <c r="AS162" s="83">
        <f t="shared" si="71"/>
        <v>0</v>
      </c>
      <c r="AT162" s="83">
        <f t="shared" si="71"/>
        <v>3.1846564722332307</v>
      </c>
      <c r="AU162" s="83">
        <f t="shared" si="71"/>
        <v>0</v>
      </c>
      <c r="AV162" s="83">
        <f t="shared" si="71"/>
        <v>0</v>
      </c>
      <c r="AW162" s="83">
        <f t="shared" si="71"/>
        <v>0</v>
      </c>
      <c r="AX162" s="83">
        <f t="shared" si="71"/>
        <v>0</v>
      </c>
      <c r="AY162" s="83">
        <f t="shared" si="71"/>
        <v>0</v>
      </c>
      <c r="AZ162" s="83">
        <f t="shared" si="71"/>
        <v>802.85457283190692</v>
      </c>
      <c r="BA162" s="83">
        <f t="shared" si="71"/>
        <v>0</v>
      </c>
      <c r="BB162" s="83">
        <f t="shared" si="71"/>
        <v>5.4125779118417725</v>
      </c>
      <c r="BC162" s="83">
        <f t="shared" si="71"/>
        <v>3.6931310350267719</v>
      </c>
      <c r="BD162" s="83">
        <f t="shared" si="71"/>
        <v>5.4125779118417725</v>
      </c>
      <c r="BE162" s="83">
        <f t="shared" si="71"/>
        <v>16.625780112394075</v>
      </c>
      <c r="BF162" s="83">
        <f t="shared" si="71"/>
        <v>14.384477763238333</v>
      </c>
      <c r="BG162" s="83">
        <f t="shared" si="71"/>
        <v>0</v>
      </c>
      <c r="BH162" s="83">
        <f t="shared" si="71"/>
        <v>0</v>
      </c>
      <c r="BI162" s="83">
        <f t="shared" si="71"/>
        <v>0</v>
      </c>
      <c r="BJ162" s="83">
        <f t="shared" si="71"/>
        <v>0</v>
      </c>
      <c r="BK162" s="83">
        <f t="shared" si="71"/>
        <v>0</v>
      </c>
      <c r="BL162" s="83">
        <f t="shared" si="71"/>
        <v>0</v>
      </c>
      <c r="BM162" s="83">
        <f t="shared" si="71"/>
        <v>0</v>
      </c>
      <c r="BN162" s="83">
        <f t="shared" si="71"/>
        <v>0</v>
      </c>
      <c r="BO162" s="83">
        <f t="shared" si="71"/>
        <v>0</v>
      </c>
      <c r="BP162" s="83">
        <f t="shared" si="71"/>
        <v>0</v>
      </c>
      <c r="BQ162" s="83">
        <f t="shared" ref="BQ162:BY162" si="72">BQ154-BQ160</f>
        <v>0</v>
      </c>
      <c r="BR162" s="83">
        <f t="shared" si="72"/>
        <v>0</v>
      </c>
      <c r="BS162" s="83">
        <f t="shared" si="72"/>
        <v>0</v>
      </c>
      <c r="BT162" s="83">
        <f t="shared" si="72"/>
        <v>0</v>
      </c>
      <c r="BU162" s="83">
        <f t="shared" si="72"/>
        <v>0</v>
      </c>
      <c r="BV162" s="83">
        <f t="shared" si="72"/>
        <v>0</v>
      </c>
      <c r="BW162" s="83">
        <f t="shared" si="72"/>
        <v>0</v>
      </c>
      <c r="BX162" s="83">
        <f t="shared" si="72"/>
        <v>0</v>
      </c>
      <c r="BY162" s="83">
        <f t="shared" si="72"/>
        <v>0</v>
      </c>
      <c r="BZ162" s="111">
        <f>SUM(B162:BY162)</f>
        <v>42068.750000000007</v>
      </c>
      <c r="CB162" s="83">
        <f>BZ162+BZ177</f>
        <v>119048.72</v>
      </c>
      <c r="CC162">
        <f>CB162*2</f>
        <v>238097.44</v>
      </c>
    </row>
    <row r="163" spans="1:84"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83"/>
      <c r="AH163" s="83"/>
      <c r="AI163" s="83"/>
      <c r="AJ163" s="83"/>
      <c r="AK163" s="83"/>
      <c r="AL163" s="83"/>
      <c r="AM163" s="83"/>
      <c r="AN163" s="83"/>
      <c r="AO163" s="83"/>
      <c r="AP163" s="83"/>
      <c r="AQ163" s="83"/>
      <c r="AR163" s="83"/>
      <c r="AS163" s="83"/>
      <c r="AT163" s="83"/>
      <c r="AU163" s="83"/>
      <c r="AV163" s="83"/>
      <c r="AW163" s="83"/>
      <c r="AX163" s="83"/>
      <c r="AY163" s="83"/>
      <c r="AZ163" s="83"/>
      <c r="BA163" s="83"/>
      <c r="BB163" s="83"/>
      <c r="BC163" s="83"/>
      <c r="BD163" s="83"/>
      <c r="BE163" s="83"/>
      <c r="BF163" s="83"/>
      <c r="BG163" s="83"/>
      <c r="BH163" s="83"/>
      <c r="BI163" s="83"/>
      <c r="BJ163" s="83"/>
      <c r="BK163" s="83"/>
      <c r="BL163" s="83"/>
      <c r="BM163" s="83"/>
      <c r="BN163" s="83"/>
      <c r="BO163" s="83"/>
      <c r="BP163" s="83"/>
      <c r="BQ163" s="83"/>
      <c r="BR163" s="83"/>
      <c r="BS163" s="83"/>
      <c r="BT163" s="83"/>
      <c r="BU163" s="83"/>
      <c r="BV163" s="83"/>
      <c r="BW163" s="83"/>
      <c r="BX163" s="83"/>
      <c r="BY163" s="83"/>
      <c r="BZ163" s="83"/>
    </row>
    <row r="164" spans="1:84">
      <c r="B164">
        <v>6920.32</v>
      </c>
      <c r="C164">
        <v>15435.99</v>
      </c>
    </row>
    <row r="165" spans="1:84">
      <c r="A165" t="s">
        <v>233</v>
      </c>
      <c r="B165" s="83">
        <f>$B$164*B158</f>
        <v>0</v>
      </c>
      <c r="C165" s="83">
        <f t="shared" ref="C165:BN165" si="73">$B$164*C158</f>
        <v>938.04762409436842</v>
      </c>
      <c r="D165" s="83">
        <f t="shared" si="73"/>
        <v>935.21472731332472</v>
      </c>
      <c r="E165" s="83">
        <f t="shared" si="73"/>
        <v>0.32577212400498989</v>
      </c>
      <c r="F165" s="83">
        <f t="shared" si="73"/>
        <v>161.68972991197663</v>
      </c>
      <c r="G165" s="83">
        <f t="shared" si="73"/>
        <v>47.936927814734254</v>
      </c>
      <c r="H165" s="83">
        <f t="shared" si="73"/>
        <v>497.75008977912404</v>
      </c>
      <c r="I165" s="83">
        <f t="shared" si="73"/>
        <v>279.56200856378211</v>
      </c>
      <c r="J165" s="83">
        <f t="shared" si="73"/>
        <v>571.27663805075031</v>
      </c>
      <c r="K165" s="83">
        <f t="shared" si="73"/>
        <v>140.69613779915508</v>
      </c>
      <c r="L165" s="83">
        <f t="shared" si="73"/>
        <v>4.9427115165757076</v>
      </c>
      <c r="M165" s="83">
        <f t="shared" si="73"/>
        <v>135.21304076607109</v>
      </c>
      <c r="N165" s="83">
        <f t="shared" si="73"/>
        <v>271.11834729565271</v>
      </c>
      <c r="O165" s="83">
        <f t="shared" si="73"/>
        <v>1.6717832985256069</v>
      </c>
      <c r="P165" s="83">
        <f t="shared" si="73"/>
        <v>0</v>
      </c>
      <c r="Q165" s="83">
        <f t="shared" si="73"/>
        <v>0</v>
      </c>
      <c r="R165" s="83">
        <f t="shared" si="73"/>
        <v>0</v>
      </c>
      <c r="S165" s="83">
        <f t="shared" si="73"/>
        <v>0.10895756850166892</v>
      </c>
      <c r="T165" s="83">
        <f t="shared" si="73"/>
        <v>0</v>
      </c>
      <c r="U165" s="83">
        <f t="shared" si="73"/>
        <v>3.6473270910558662</v>
      </c>
      <c r="V165" s="83">
        <f t="shared" si="73"/>
        <v>0</v>
      </c>
      <c r="W165" s="83">
        <f t="shared" si="73"/>
        <v>0</v>
      </c>
      <c r="X165" s="83">
        <f t="shared" si="73"/>
        <v>90.198156833881583</v>
      </c>
      <c r="Y165" s="83">
        <f t="shared" si="73"/>
        <v>0</v>
      </c>
      <c r="Z165" s="83">
        <f t="shared" si="73"/>
        <v>17.144858607262609</v>
      </c>
      <c r="AA165" s="83">
        <f t="shared" si="73"/>
        <v>5.9046197475904423</v>
      </c>
      <c r="AB165" s="83">
        <f t="shared" si="73"/>
        <v>326.3356217329985</v>
      </c>
      <c r="AC165" s="83">
        <f t="shared" si="73"/>
        <v>0</v>
      </c>
      <c r="AD165" s="83">
        <f t="shared" si="73"/>
        <v>0</v>
      </c>
      <c r="AE165" s="83">
        <f t="shared" si="73"/>
        <v>0</v>
      </c>
      <c r="AF165" s="83">
        <f t="shared" si="73"/>
        <v>546.28133160386744</v>
      </c>
      <c r="AG165" s="83">
        <f t="shared" si="73"/>
        <v>398.98170480461124</v>
      </c>
      <c r="AH165" s="83">
        <f t="shared" si="73"/>
        <v>0</v>
      </c>
      <c r="AI165" s="83">
        <f t="shared" si="73"/>
        <v>1.2106396500185437</v>
      </c>
      <c r="AJ165" s="83">
        <f t="shared" si="73"/>
        <v>5.1408161865787427</v>
      </c>
      <c r="AK165" s="83">
        <f t="shared" si="73"/>
        <v>331.73397399058121</v>
      </c>
      <c r="AL165" s="83">
        <f t="shared" si="73"/>
        <v>1065.4553408623196</v>
      </c>
      <c r="AM165" s="83">
        <f t="shared" si="73"/>
        <v>0</v>
      </c>
      <c r="AN165" s="83">
        <f t="shared" si="73"/>
        <v>2.6479990890405594</v>
      </c>
      <c r="AO165" s="83">
        <f t="shared" si="73"/>
        <v>0</v>
      </c>
      <c r="AP165" s="83">
        <f t="shared" si="73"/>
        <v>0</v>
      </c>
      <c r="AQ165" s="83">
        <f t="shared" si="73"/>
        <v>0</v>
      </c>
      <c r="AR165" s="83">
        <f t="shared" si="73"/>
        <v>0</v>
      </c>
      <c r="AS165" s="83">
        <f t="shared" si="73"/>
        <v>0</v>
      </c>
      <c r="AT165" s="83">
        <f t="shared" si="73"/>
        <v>0.52387679400802434</v>
      </c>
      <c r="AU165" s="83">
        <f t="shared" si="73"/>
        <v>0</v>
      </c>
      <c r="AV165" s="83">
        <f t="shared" si="73"/>
        <v>0</v>
      </c>
      <c r="AW165" s="83">
        <f t="shared" si="73"/>
        <v>0</v>
      </c>
      <c r="AX165" s="83">
        <f t="shared" si="73"/>
        <v>0</v>
      </c>
      <c r="AY165" s="83">
        <f t="shared" si="73"/>
        <v>0</v>
      </c>
      <c r="AZ165" s="83">
        <f t="shared" si="73"/>
        <v>132.06978000202292</v>
      </c>
      <c r="BA165" s="83">
        <f t="shared" si="73"/>
        <v>0</v>
      </c>
      <c r="BB165" s="83">
        <f t="shared" si="73"/>
        <v>0.89037043351363787</v>
      </c>
      <c r="BC165" s="83">
        <f t="shared" si="73"/>
        <v>0.60752098800930543</v>
      </c>
      <c r="BD165" s="83">
        <f t="shared" si="73"/>
        <v>0.89037043351363787</v>
      </c>
      <c r="BE165" s="83">
        <f t="shared" si="73"/>
        <v>2.7349450275418916</v>
      </c>
      <c r="BF165" s="83">
        <f t="shared" si="73"/>
        <v>2.3662502250362443</v>
      </c>
      <c r="BG165" s="83">
        <f t="shared" si="73"/>
        <v>0</v>
      </c>
      <c r="BH165" s="83">
        <f t="shared" si="73"/>
        <v>0</v>
      </c>
      <c r="BI165" s="83">
        <f t="shared" si="73"/>
        <v>0</v>
      </c>
      <c r="BJ165" s="83">
        <f t="shared" si="73"/>
        <v>0</v>
      </c>
      <c r="BK165" s="83">
        <f t="shared" si="73"/>
        <v>0</v>
      </c>
      <c r="BL165" s="83">
        <f t="shared" si="73"/>
        <v>0</v>
      </c>
      <c r="BM165" s="83">
        <f t="shared" si="73"/>
        <v>0</v>
      </c>
      <c r="BN165" s="83">
        <f t="shared" si="73"/>
        <v>0</v>
      </c>
      <c r="BO165" s="83">
        <f t="shared" ref="BO165:BY165" si="74">$B$164*BO158</f>
        <v>0</v>
      </c>
      <c r="BP165" s="83">
        <f t="shared" si="74"/>
        <v>0</v>
      </c>
      <c r="BQ165" s="83">
        <f t="shared" si="74"/>
        <v>0</v>
      </c>
      <c r="BR165" s="83">
        <f t="shared" si="74"/>
        <v>0</v>
      </c>
      <c r="BS165" s="83">
        <f t="shared" si="74"/>
        <v>0</v>
      </c>
      <c r="BT165" s="83">
        <f t="shared" si="74"/>
        <v>0</v>
      </c>
      <c r="BU165" s="83">
        <f t="shared" si="74"/>
        <v>0</v>
      </c>
      <c r="BV165" s="83">
        <f t="shared" si="74"/>
        <v>0</v>
      </c>
      <c r="BW165" s="83">
        <f t="shared" si="74"/>
        <v>0</v>
      </c>
      <c r="BX165" s="83">
        <f t="shared" si="74"/>
        <v>0</v>
      </c>
      <c r="BY165" s="83">
        <f t="shared" si="74"/>
        <v>0</v>
      </c>
      <c r="BZ165">
        <f>SUM(B165:BY165)</f>
        <v>6920.319999999997</v>
      </c>
      <c r="CB165" t="s">
        <v>234</v>
      </c>
      <c r="CC165" t="s">
        <v>235</v>
      </c>
    </row>
    <row r="166" spans="1:84">
      <c r="A166" t="s">
        <v>236</v>
      </c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83"/>
      <c r="AH166" s="83"/>
      <c r="AI166" s="83"/>
      <c r="AJ166" s="83"/>
      <c r="AK166" s="83"/>
      <c r="AL166" s="83"/>
      <c r="AM166" s="83"/>
      <c r="AN166" s="83"/>
      <c r="AO166" s="83"/>
      <c r="AP166" s="83"/>
      <c r="AQ166" s="83"/>
      <c r="AR166" s="83"/>
      <c r="AS166" s="83"/>
      <c r="AT166" s="83"/>
      <c r="AU166" s="83"/>
      <c r="AV166" s="83"/>
      <c r="AW166" s="83"/>
      <c r="AX166" s="83"/>
      <c r="AY166" s="83"/>
      <c r="AZ166" s="83"/>
      <c r="BA166" s="83"/>
      <c r="BB166" s="83"/>
      <c r="BC166" s="83"/>
      <c r="BD166" s="83"/>
      <c r="BE166" s="83"/>
      <c r="BF166" s="83"/>
      <c r="BG166" s="83"/>
      <c r="BH166" s="83"/>
      <c r="BI166" s="83"/>
      <c r="BJ166" s="83"/>
      <c r="BK166" s="83"/>
      <c r="BL166" s="83"/>
      <c r="BM166" s="83"/>
      <c r="BN166" s="83"/>
      <c r="BO166" s="83"/>
      <c r="BP166" s="83"/>
      <c r="BQ166" s="83"/>
      <c r="BR166" s="83"/>
      <c r="BS166" s="83"/>
      <c r="BT166" s="83"/>
      <c r="BU166" s="83"/>
      <c r="BV166" s="83"/>
      <c r="BW166" s="83"/>
      <c r="BX166" s="83"/>
      <c r="BY166" s="83"/>
      <c r="CB166">
        <f>(BZ165+BZ179)*4</f>
        <v>89425.239999999991</v>
      </c>
      <c r="CC166">
        <v>65000</v>
      </c>
      <c r="CD166">
        <f>CB166-CC166</f>
        <v>24425.239999999991</v>
      </c>
      <c r="CE166">
        <f>CD166*CC179</f>
        <v>7560.7502703621431</v>
      </c>
      <c r="CF166" t="s">
        <v>237</v>
      </c>
    </row>
    <row r="167" spans="1:84">
      <c r="A167" t="s">
        <v>238</v>
      </c>
      <c r="CE167">
        <f>CD166*CC180</f>
        <v>16864.489729637848</v>
      </c>
      <c r="CF167" t="s">
        <v>239</v>
      </c>
    </row>
    <row r="169" spans="1:84">
      <c r="A169" t="s">
        <v>240</v>
      </c>
      <c r="B169" s="83">
        <f>B162-B165</f>
        <v>0</v>
      </c>
      <c r="C169" s="83">
        <f t="shared" ref="C169:BN169" si="75">C162-C165</f>
        <v>4764.360788539725</v>
      </c>
      <c r="D169" s="83">
        <f t="shared" si="75"/>
        <v>4749.9724547335209</v>
      </c>
      <c r="E169" s="83">
        <f t="shared" si="75"/>
        <v>1.6546024889803808</v>
      </c>
      <c r="F169" s="83">
        <f t="shared" si="75"/>
        <v>821.22505224180634</v>
      </c>
      <c r="G169" s="83">
        <f t="shared" si="75"/>
        <v>243.47252030415359</v>
      </c>
      <c r="H169" s="83">
        <f t="shared" si="75"/>
        <v>2528.0816765836344</v>
      </c>
      <c r="I169" s="83">
        <f t="shared" si="75"/>
        <v>1419.900479842478</v>
      </c>
      <c r="J169" s="83">
        <f t="shared" si="75"/>
        <v>2901.5243403718523</v>
      </c>
      <c r="K169" s="83">
        <f t="shared" si="75"/>
        <v>714.5982195482228</v>
      </c>
      <c r="L169" s="83">
        <f t="shared" si="75"/>
        <v>25.104120871658409</v>
      </c>
      <c r="M169" s="83">
        <f t="shared" si="75"/>
        <v>686.74947089923512</v>
      </c>
      <c r="N169" s="83">
        <f t="shared" si="75"/>
        <v>1377.0149720875538</v>
      </c>
      <c r="O169" s="83">
        <f t="shared" si="75"/>
        <v>8.4910175025716157</v>
      </c>
      <c r="P169" s="83">
        <f t="shared" si="75"/>
        <v>0</v>
      </c>
      <c r="Q169" s="83">
        <f t="shared" si="75"/>
        <v>0</v>
      </c>
      <c r="R169" s="83">
        <f t="shared" si="75"/>
        <v>0</v>
      </c>
      <c r="S169" s="83">
        <f t="shared" si="75"/>
        <v>0.55339745408465435</v>
      </c>
      <c r="T169" s="83">
        <f t="shared" si="75"/>
        <v>0</v>
      </c>
      <c r="U169" s="83">
        <f t="shared" si="75"/>
        <v>18.524840028651962</v>
      </c>
      <c r="V169" s="83">
        <f t="shared" si="75"/>
        <v>0</v>
      </c>
      <c r="W169" s="83">
        <f t="shared" si="75"/>
        <v>0</v>
      </c>
      <c r="X169" s="83">
        <f t="shared" si="75"/>
        <v>458.1180641364428</v>
      </c>
      <c r="Y169" s="83">
        <f t="shared" si="75"/>
        <v>0</v>
      </c>
      <c r="Z169" s="83">
        <f t="shared" si="75"/>
        <v>87.079045855866113</v>
      </c>
      <c r="AA169" s="83">
        <f t="shared" si="75"/>
        <v>29.989670112769392</v>
      </c>
      <c r="AB169" s="83">
        <f t="shared" si="75"/>
        <v>1657.4645040964549</v>
      </c>
      <c r="AC169" s="83">
        <f t="shared" si="75"/>
        <v>0</v>
      </c>
      <c r="AD169" s="83">
        <f t="shared" si="75"/>
        <v>0</v>
      </c>
      <c r="AE169" s="83">
        <f t="shared" si="75"/>
        <v>0</v>
      </c>
      <c r="AF169" s="83">
        <f t="shared" si="75"/>
        <v>2774.5727284555232</v>
      </c>
      <c r="AG169" s="83">
        <f t="shared" si="75"/>
        <v>2026.4352692658063</v>
      </c>
      <c r="AH169" s="83">
        <f t="shared" si="75"/>
        <v>0</v>
      </c>
      <c r="AI169" s="83">
        <f t="shared" si="75"/>
        <v>6.1488606009406039</v>
      </c>
      <c r="AJ169" s="83">
        <f t="shared" si="75"/>
        <v>26.110298060903236</v>
      </c>
      <c r="AK169" s="83">
        <f t="shared" si="75"/>
        <v>1684.8828325033762</v>
      </c>
      <c r="AL169" s="83">
        <f t="shared" si="75"/>
        <v>5411.4668781827122</v>
      </c>
      <c r="AM169" s="83">
        <f t="shared" si="75"/>
        <v>0</v>
      </c>
      <c r="AN169" s="83">
        <f t="shared" si="75"/>
        <v>13.449235096239175</v>
      </c>
      <c r="AO169" s="83">
        <f t="shared" si="75"/>
        <v>0</v>
      </c>
      <c r="AP169" s="83">
        <f t="shared" si="75"/>
        <v>0</v>
      </c>
      <c r="AQ169" s="83">
        <f t="shared" si="75"/>
        <v>0</v>
      </c>
      <c r="AR169" s="83">
        <f t="shared" si="75"/>
        <v>0</v>
      </c>
      <c r="AS169" s="83">
        <f t="shared" si="75"/>
        <v>0</v>
      </c>
      <c r="AT169" s="83">
        <f t="shared" si="75"/>
        <v>2.6607796782252064</v>
      </c>
      <c r="AU169" s="83">
        <f t="shared" si="75"/>
        <v>0</v>
      </c>
      <c r="AV169" s="83">
        <f t="shared" si="75"/>
        <v>0</v>
      </c>
      <c r="AW169" s="83">
        <f t="shared" si="75"/>
        <v>0</v>
      </c>
      <c r="AX169" s="83">
        <f t="shared" si="75"/>
        <v>0</v>
      </c>
      <c r="AY169" s="83">
        <f t="shared" si="75"/>
        <v>0</v>
      </c>
      <c r="AZ169" s="83">
        <f t="shared" si="75"/>
        <v>670.78479282988405</v>
      </c>
      <c r="BA169" s="83">
        <f t="shared" si="75"/>
        <v>0</v>
      </c>
      <c r="BB169" s="83">
        <f t="shared" si="75"/>
        <v>4.5222074783281343</v>
      </c>
      <c r="BC169" s="83">
        <f t="shared" si="75"/>
        <v>3.0856100470174663</v>
      </c>
      <c r="BD169" s="83">
        <f t="shared" si="75"/>
        <v>4.5222074783281343</v>
      </c>
      <c r="BE169" s="83">
        <f t="shared" si="75"/>
        <v>13.890835084852183</v>
      </c>
      <c r="BF169" s="83">
        <f t="shared" si="75"/>
        <v>12.018227538202089</v>
      </c>
      <c r="BG169" s="83">
        <f t="shared" si="75"/>
        <v>0</v>
      </c>
      <c r="BH169" s="83">
        <f t="shared" si="75"/>
        <v>0</v>
      </c>
      <c r="BI169" s="83">
        <f t="shared" si="75"/>
        <v>0</v>
      </c>
      <c r="BJ169" s="83">
        <f t="shared" si="75"/>
        <v>0</v>
      </c>
      <c r="BK169" s="83">
        <f t="shared" si="75"/>
        <v>0</v>
      </c>
      <c r="BL169" s="83">
        <f t="shared" si="75"/>
        <v>0</v>
      </c>
      <c r="BM169" s="83">
        <f t="shared" si="75"/>
        <v>0</v>
      </c>
      <c r="BN169" s="83">
        <f t="shared" si="75"/>
        <v>0</v>
      </c>
      <c r="BO169" s="83">
        <f t="shared" ref="BO169:BY169" si="76">BO162-BO165</f>
        <v>0</v>
      </c>
      <c r="BP169" s="83">
        <f t="shared" si="76"/>
        <v>0</v>
      </c>
      <c r="BQ169" s="83">
        <f t="shared" si="76"/>
        <v>0</v>
      </c>
      <c r="BR169" s="83">
        <f t="shared" si="76"/>
        <v>0</v>
      </c>
      <c r="BS169" s="83">
        <f t="shared" si="76"/>
        <v>0</v>
      </c>
      <c r="BT169" s="83">
        <f t="shared" si="76"/>
        <v>0</v>
      </c>
      <c r="BU169" s="83">
        <f t="shared" si="76"/>
        <v>0</v>
      </c>
      <c r="BV169" s="83">
        <f t="shared" si="76"/>
        <v>0</v>
      </c>
      <c r="BW169" s="83">
        <f t="shared" si="76"/>
        <v>0</v>
      </c>
      <c r="BX169" s="83">
        <f t="shared" si="76"/>
        <v>0</v>
      </c>
      <c r="BY169" s="83">
        <f t="shared" si="76"/>
        <v>0</v>
      </c>
      <c r="BZ169" s="83">
        <f t="shared" ref="BZ169:BZ174" si="77">SUM(B169:BY169)</f>
        <v>35148.430000000008</v>
      </c>
      <c r="CE169">
        <f>SUM(CE166:CE168)</f>
        <v>24425.239999999991</v>
      </c>
    </row>
    <row r="170" spans="1:84">
      <c r="B170" s="83">
        <f>$CE$166*B158</f>
        <v>0</v>
      </c>
      <c r="C170" s="83">
        <f t="shared" ref="C170:BN170" si="78">$CE$166*C158</f>
        <v>1024.8577851145701</v>
      </c>
      <c r="D170" s="83">
        <f t="shared" si="78"/>
        <v>1021.7627222990957</v>
      </c>
      <c r="E170" s="83">
        <f t="shared" si="78"/>
        <v>0.35592019944846148</v>
      </c>
      <c r="F170" s="83">
        <f t="shared" si="78"/>
        <v>176.65305493774267</v>
      </c>
      <c r="G170" s="83">
        <f t="shared" si="78"/>
        <v>52.373176375598611</v>
      </c>
      <c r="H170" s="83">
        <f t="shared" si="78"/>
        <v>543.81359906338048</v>
      </c>
      <c r="I170" s="83">
        <f t="shared" si="78"/>
        <v>305.43364061656098</v>
      </c>
      <c r="J170" s="83">
        <f t="shared" si="78"/>
        <v>624.14454759227715</v>
      </c>
      <c r="K170" s="83">
        <f t="shared" si="78"/>
        <v>153.71664343612306</v>
      </c>
      <c r="L170" s="83">
        <f t="shared" si="78"/>
        <v>5.4001270801454071</v>
      </c>
      <c r="M170" s="83">
        <f t="shared" si="78"/>
        <v>147.72612170081143</v>
      </c>
      <c r="N170" s="83">
        <f t="shared" si="78"/>
        <v>296.20857382545086</v>
      </c>
      <c r="O170" s="83">
        <f t="shared" si="78"/>
        <v>1.8264958883858549</v>
      </c>
      <c r="P170" s="83">
        <f t="shared" si="78"/>
        <v>0</v>
      </c>
      <c r="Q170" s="83">
        <f t="shared" si="78"/>
        <v>0</v>
      </c>
      <c r="R170" s="83">
        <f t="shared" si="78"/>
        <v>0</v>
      </c>
      <c r="S170" s="83">
        <f t="shared" si="78"/>
        <v>0.11904087751823543</v>
      </c>
      <c r="T170" s="83">
        <f t="shared" si="78"/>
        <v>0</v>
      </c>
      <c r="U170" s="83">
        <f t="shared" si="78"/>
        <v>3.9848633140952745</v>
      </c>
      <c r="V170" s="83">
        <f t="shared" si="78"/>
        <v>0</v>
      </c>
      <c r="W170" s="83">
        <f t="shared" si="78"/>
        <v>0</v>
      </c>
      <c r="X170" s="83">
        <f t="shared" si="78"/>
        <v>98.545405222292771</v>
      </c>
      <c r="Y170" s="83">
        <f t="shared" si="78"/>
        <v>0</v>
      </c>
      <c r="Z170" s="83">
        <f t="shared" si="78"/>
        <v>18.731502929081529</v>
      </c>
      <c r="AA170" s="83">
        <f t="shared" si="78"/>
        <v>6.4510536150033646</v>
      </c>
      <c r="AB170" s="83">
        <f t="shared" si="78"/>
        <v>356.53584519885879</v>
      </c>
      <c r="AC170" s="83">
        <f t="shared" si="78"/>
        <v>0</v>
      </c>
      <c r="AD170" s="83">
        <f t="shared" si="78"/>
        <v>0</v>
      </c>
      <c r="AE170" s="83">
        <f t="shared" si="78"/>
        <v>0</v>
      </c>
      <c r="AF170" s="83">
        <f t="shared" si="78"/>
        <v>596.83608931635126</v>
      </c>
      <c r="AG170" s="83">
        <f t="shared" si="78"/>
        <v>435.9048472427595</v>
      </c>
      <c r="AH170" s="83">
        <f t="shared" si="78"/>
        <v>0</v>
      </c>
      <c r="AI170" s="83">
        <f t="shared" si="78"/>
        <v>1.3226764168692826</v>
      </c>
      <c r="AJ170" s="83">
        <f t="shared" si="78"/>
        <v>5.6165650392694717</v>
      </c>
      <c r="AK170" s="83">
        <f t="shared" si="78"/>
        <v>362.43377958498957</v>
      </c>
      <c r="AL170" s="83">
        <f t="shared" si="78"/>
        <v>1164.0562512258932</v>
      </c>
      <c r="AM170" s="83">
        <f t="shared" si="78"/>
        <v>0</v>
      </c>
      <c r="AN170" s="83">
        <f t="shared" si="78"/>
        <v>2.893054053624994</v>
      </c>
      <c r="AO170" s="83">
        <f t="shared" si="78"/>
        <v>0</v>
      </c>
      <c r="AP170" s="83">
        <f t="shared" si="78"/>
        <v>0</v>
      </c>
      <c r="AQ170" s="83">
        <f t="shared" si="78"/>
        <v>0</v>
      </c>
      <c r="AR170" s="83">
        <f t="shared" si="78"/>
        <v>0</v>
      </c>
      <c r="AS170" s="83">
        <f t="shared" si="78"/>
        <v>0</v>
      </c>
      <c r="AT170" s="83">
        <f t="shared" si="78"/>
        <v>0.57235815857252592</v>
      </c>
      <c r="AU170" s="83">
        <f t="shared" si="78"/>
        <v>0</v>
      </c>
      <c r="AV170" s="83">
        <f t="shared" si="78"/>
        <v>0</v>
      </c>
      <c r="AW170" s="83">
        <f t="shared" si="78"/>
        <v>0</v>
      </c>
      <c r="AX170" s="83">
        <f t="shared" si="78"/>
        <v>0</v>
      </c>
      <c r="AY170" s="83">
        <f t="shared" si="78"/>
        <v>0</v>
      </c>
      <c r="AZ170" s="83">
        <f t="shared" si="78"/>
        <v>144.2919727493763</v>
      </c>
      <c r="BA170" s="83">
        <f t="shared" si="78"/>
        <v>0</v>
      </c>
      <c r="BB170" s="83">
        <f t="shared" si="78"/>
        <v>0.97276838295204504</v>
      </c>
      <c r="BC170" s="83">
        <f t="shared" si="78"/>
        <v>0.66374307464713089</v>
      </c>
      <c r="BD170" s="83">
        <f t="shared" si="78"/>
        <v>0.97276838295204504</v>
      </c>
      <c r="BE170" s="83">
        <f t="shared" si="78"/>
        <v>2.988046269018334</v>
      </c>
      <c r="BF170" s="83">
        <f t="shared" si="78"/>
        <v>2.5852311784263251</v>
      </c>
      <c r="BG170" s="83">
        <f t="shared" si="78"/>
        <v>0</v>
      </c>
      <c r="BH170" s="83">
        <f t="shared" si="78"/>
        <v>0</v>
      </c>
      <c r="BI170" s="83">
        <f t="shared" si="78"/>
        <v>0</v>
      </c>
      <c r="BJ170" s="83">
        <f t="shared" si="78"/>
        <v>0</v>
      </c>
      <c r="BK170" s="83">
        <f t="shared" si="78"/>
        <v>0</v>
      </c>
      <c r="BL170" s="83">
        <f t="shared" si="78"/>
        <v>0</v>
      </c>
      <c r="BM170" s="83">
        <f t="shared" si="78"/>
        <v>0</v>
      </c>
      <c r="BN170" s="83">
        <f t="shared" si="78"/>
        <v>0</v>
      </c>
      <c r="BO170" s="83">
        <f t="shared" ref="BO170:BY170" si="79">$CE$166*BO158</f>
        <v>0</v>
      </c>
      <c r="BP170" s="83">
        <f t="shared" si="79"/>
        <v>0</v>
      </c>
      <c r="BQ170" s="83">
        <f t="shared" si="79"/>
        <v>0</v>
      </c>
      <c r="BR170" s="83">
        <f t="shared" si="79"/>
        <v>0</v>
      </c>
      <c r="BS170" s="83">
        <f t="shared" si="79"/>
        <v>0</v>
      </c>
      <c r="BT170" s="83">
        <f t="shared" si="79"/>
        <v>0</v>
      </c>
      <c r="BU170" s="83">
        <f t="shared" si="79"/>
        <v>0</v>
      </c>
      <c r="BV170" s="83">
        <f t="shared" si="79"/>
        <v>0</v>
      </c>
      <c r="BW170" s="83">
        <f t="shared" si="79"/>
        <v>0</v>
      </c>
      <c r="BX170" s="83">
        <f t="shared" si="79"/>
        <v>0</v>
      </c>
      <c r="BY170" s="83">
        <f t="shared" si="79"/>
        <v>0</v>
      </c>
      <c r="BZ170" s="83">
        <f t="shared" si="77"/>
        <v>7560.750270362144</v>
      </c>
    </row>
    <row r="171" spans="1:84">
      <c r="A171" s="83">
        <f>SUM(B171:AH171,AP171:AQ171,AS171,AV171:AW171,AY171:BA171,BF171:BV171)</f>
        <v>21959.431996015726</v>
      </c>
      <c r="B171" s="111">
        <f>B169-B170</f>
        <v>0</v>
      </c>
      <c r="C171" s="111">
        <f t="shared" ref="C171:BN171" si="80">C169-C170</f>
        <v>3739.5030034251549</v>
      </c>
      <c r="D171" s="111">
        <f t="shared" si="80"/>
        <v>3728.209732434425</v>
      </c>
      <c r="E171" s="111">
        <f t="shared" si="80"/>
        <v>1.2986822895319192</v>
      </c>
      <c r="F171" s="111">
        <f t="shared" si="80"/>
        <v>644.57199730406364</v>
      </c>
      <c r="G171" s="111">
        <f t="shared" si="80"/>
        <v>191.09934392855499</v>
      </c>
      <c r="H171" s="111">
        <f t="shared" si="80"/>
        <v>1984.2680775202539</v>
      </c>
      <c r="I171" s="111">
        <f t="shared" si="80"/>
        <v>1114.4668392259171</v>
      </c>
      <c r="J171" s="111">
        <f t="shared" si="80"/>
        <v>2277.3797927795749</v>
      </c>
      <c r="K171" s="111">
        <f t="shared" si="80"/>
        <v>560.88157611209976</v>
      </c>
      <c r="L171" s="111">
        <f t="shared" si="80"/>
        <v>19.703993791513003</v>
      </c>
      <c r="M171" s="111">
        <f t="shared" si="80"/>
        <v>539.02334919842372</v>
      </c>
      <c r="N171" s="111">
        <f t="shared" si="80"/>
        <v>1080.8063982621029</v>
      </c>
      <c r="O171" s="111">
        <f t="shared" si="80"/>
        <v>6.6645216141857606</v>
      </c>
      <c r="P171" s="111">
        <f t="shared" si="80"/>
        <v>0</v>
      </c>
      <c r="Q171" s="111">
        <f t="shared" si="80"/>
        <v>0</v>
      </c>
      <c r="R171" s="111">
        <f t="shared" si="80"/>
        <v>0</v>
      </c>
      <c r="S171" s="111">
        <f t="shared" si="80"/>
        <v>0.43435657656641891</v>
      </c>
      <c r="T171" s="111">
        <f t="shared" si="80"/>
        <v>0</v>
      </c>
      <c r="U171" s="111">
        <f t="shared" si="80"/>
        <v>14.539976714556687</v>
      </c>
      <c r="V171" s="111">
        <f t="shared" si="80"/>
        <v>0</v>
      </c>
      <c r="W171" s="111">
        <f t="shared" si="80"/>
        <v>0</v>
      </c>
      <c r="X171" s="111">
        <f t="shared" si="80"/>
        <v>359.57265891415</v>
      </c>
      <c r="Y171" s="111">
        <f t="shared" si="80"/>
        <v>0</v>
      </c>
      <c r="Z171" s="111">
        <f t="shared" si="80"/>
        <v>68.347542926784584</v>
      </c>
      <c r="AA171" s="111">
        <f t="shared" si="80"/>
        <v>23.538616497766029</v>
      </c>
      <c r="AB171" s="111">
        <f t="shared" si="80"/>
        <v>1300.9286588975961</v>
      </c>
      <c r="AC171" s="111">
        <f t="shared" si="80"/>
        <v>0</v>
      </c>
      <c r="AD171" s="111">
        <f t="shared" si="80"/>
        <v>0</v>
      </c>
      <c r="AE171" s="111">
        <f t="shared" si="80"/>
        <v>0</v>
      </c>
      <c r="AF171" s="111">
        <f t="shared" si="80"/>
        <v>2177.736639139172</v>
      </c>
      <c r="AG171" s="111">
        <f t="shared" si="80"/>
        <v>1590.5304220230469</v>
      </c>
      <c r="AH171" s="111">
        <f t="shared" si="80"/>
        <v>0</v>
      </c>
      <c r="AI171" s="111">
        <f t="shared" si="80"/>
        <v>4.8261841840713213</v>
      </c>
      <c r="AJ171" s="111">
        <f t="shared" si="80"/>
        <v>20.493733021633766</v>
      </c>
      <c r="AK171" s="111">
        <f t="shared" si="80"/>
        <v>1322.4490529183868</v>
      </c>
      <c r="AL171" s="111">
        <f t="shared" si="80"/>
        <v>4247.4106269568192</v>
      </c>
      <c r="AM171" s="111">
        <f t="shared" si="80"/>
        <v>0</v>
      </c>
      <c r="AN171" s="111">
        <f t="shared" si="80"/>
        <v>10.556181042614181</v>
      </c>
      <c r="AO171" s="111">
        <f t="shared" si="80"/>
        <v>0</v>
      </c>
      <c r="AP171" s="111">
        <f t="shared" si="80"/>
        <v>0</v>
      </c>
      <c r="AQ171" s="111">
        <f t="shared" si="80"/>
        <v>0</v>
      </c>
      <c r="AR171" s="111">
        <f t="shared" si="80"/>
        <v>0</v>
      </c>
      <c r="AS171" s="111">
        <f t="shared" si="80"/>
        <v>0</v>
      </c>
      <c r="AT171" s="111">
        <f t="shared" si="80"/>
        <v>2.0884215196526803</v>
      </c>
      <c r="AU171" s="111">
        <f t="shared" si="80"/>
        <v>0</v>
      </c>
      <c r="AV171" s="111">
        <f t="shared" si="80"/>
        <v>0</v>
      </c>
      <c r="AW171" s="111">
        <f t="shared" si="80"/>
        <v>0</v>
      </c>
      <c r="AX171" s="111">
        <f t="shared" si="80"/>
        <v>0</v>
      </c>
      <c r="AY171" s="111">
        <f t="shared" si="80"/>
        <v>0</v>
      </c>
      <c r="AZ171" s="111">
        <f t="shared" si="80"/>
        <v>526.49282008050773</v>
      </c>
      <c r="BA171" s="111">
        <f t="shared" si="80"/>
        <v>0</v>
      </c>
      <c r="BB171" s="111">
        <f t="shared" si="80"/>
        <v>3.5494390953760893</v>
      </c>
      <c r="BC171" s="111">
        <f t="shared" si="80"/>
        <v>2.4218669723703354</v>
      </c>
      <c r="BD171" s="111">
        <f t="shared" si="80"/>
        <v>3.5494390953760893</v>
      </c>
      <c r="BE171" s="111">
        <f t="shared" si="80"/>
        <v>10.90278881583385</v>
      </c>
      <c r="BF171" s="111">
        <f t="shared" si="80"/>
        <v>9.432996359775764</v>
      </c>
      <c r="BG171" s="111">
        <f t="shared" si="80"/>
        <v>0</v>
      </c>
      <c r="BH171" s="111">
        <f t="shared" si="80"/>
        <v>0</v>
      </c>
      <c r="BI171" s="111">
        <f t="shared" si="80"/>
        <v>0</v>
      </c>
      <c r="BJ171" s="111">
        <f t="shared" si="80"/>
        <v>0</v>
      </c>
      <c r="BK171" s="111">
        <f t="shared" si="80"/>
        <v>0</v>
      </c>
      <c r="BL171" s="111">
        <f t="shared" si="80"/>
        <v>0</v>
      </c>
      <c r="BM171" s="111">
        <f t="shared" si="80"/>
        <v>0</v>
      </c>
      <c r="BN171" s="111">
        <f t="shared" si="80"/>
        <v>0</v>
      </c>
      <c r="BO171" s="111">
        <f t="shared" ref="BO171:BY171" si="81">BO169-BO170</f>
        <v>0</v>
      </c>
      <c r="BP171" s="111">
        <f t="shared" si="81"/>
        <v>0</v>
      </c>
      <c r="BQ171" s="111">
        <f t="shared" si="81"/>
        <v>0</v>
      </c>
      <c r="BR171" s="111">
        <f t="shared" si="81"/>
        <v>0</v>
      </c>
      <c r="BS171" s="111">
        <f t="shared" si="81"/>
        <v>0</v>
      </c>
      <c r="BT171" s="111">
        <f t="shared" si="81"/>
        <v>0</v>
      </c>
      <c r="BU171" s="111">
        <f t="shared" si="81"/>
        <v>0</v>
      </c>
      <c r="BV171" s="111">
        <f t="shared" si="81"/>
        <v>0</v>
      </c>
      <c r="BW171" s="111">
        <f t="shared" si="81"/>
        <v>0</v>
      </c>
      <c r="BX171" s="111">
        <f t="shared" si="81"/>
        <v>0</v>
      </c>
      <c r="BY171" s="111">
        <f t="shared" si="81"/>
        <v>0</v>
      </c>
      <c r="BZ171" s="83">
        <f t="shared" si="77"/>
        <v>27587.679729637861</v>
      </c>
      <c r="CE171" s="83">
        <f>BZ170+BZ182</f>
        <v>24425.239999999987</v>
      </c>
    </row>
    <row r="172" spans="1:84">
      <c r="A172" s="83"/>
      <c r="B172" s="77">
        <f>B171/$A$171</f>
        <v>0</v>
      </c>
      <c r="C172" s="77">
        <f t="shared" ref="C172:AH172" si="82">C171/$A$171</f>
        <v>0.17029142666821448</v>
      </c>
      <c r="D172" s="77">
        <f t="shared" si="82"/>
        <v>0.16977714783838049</v>
      </c>
      <c r="E172" s="77">
        <f t="shared" si="82"/>
        <v>5.9140067455640445E-5</v>
      </c>
      <c r="F172" s="77">
        <f t="shared" si="82"/>
        <v>2.9352853817940894E-2</v>
      </c>
      <c r="G172" s="77">
        <f t="shared" si="82"/>
        <v>8.7023810070874178E-3</v>
      </c>
      <c r="H172" s="77">
        <f t="shared" si="82"/>
        <v>9.0360628539038507E-2</v>
      </c>
      <c r="I172" s="77">
        <f t="shared" si="82"/>
        <v>5.0751168765572972E-2</v>
      </c>
      <c r="J172" s="77">
        <f t="shared" si="82"/>
        <v>0.10370850180427153</v>
      </c>
      <c r="K172" s="77">
        <f t="shared" si="82"/>
        <v>2.5541716024980288E-2</v>
      </c>
      <c r="L172" s="77">
        <f t="shared" si="82"/>
        <v>8.9729068561919339E-4</v>
      </c>
      <c r="M172" s="77">
        <f t="shared" si="82"/>
        <v>2.4546324754493785E-2</v>
      </c>
      <c r="N172" s="77">
        <f t="shared" si="82"/>
        <v>4.9218322152330816E-2</v>
      </c>
      <c r="O172" s="77">
        <f t="shared" si="82"/>
        <v>3.034924407605332E-4</v>
      </c>
      <c r="P172" s="77">
        <f t="shared" si="82"/>
        <v>0</v>
      </c>
      <c r="Q172" s="77">
        <f t="shared" si="82"/>
        <v>0</v>
      </c>
      <c r="R172" s="77">
        <f t="shared" si="82"/>
        <v>0</v>
      </c>
      <c r="S172" s="77">
        <f t="shared" si="82"/>
        <v>1.9779954993609472E-5</v>
      </c>
      <c r="T172" s="77">
        <f t="shared" si="82"/>
        <v>0</v>
      </c>
      <c r="U172" s="77">
        <f t="shared" si="82"/>
        <v>6.6212899847294733E-4</v>
      </c>
      <c r="V172" s="77">
        <f t="shared" si="82"/>
        <v>0</v>
      </c>
      <c r="W172" s="77">
        <f t="shared" si="82"/>
        <v>0</v>
      </c>
      <c r="X172" s="77">
        <f t="shared" si="82"/>
        <v>1.6374406176780442E-2</v>
      </c>
      <c r="Y172" s="77">
        <f t="shared" si="82"/>
        <v>0</v>
      </c>
      <c r="Z172" s="77">
        <f t="shared" si="82"/>
        <v>3.1124458473782662E-3</v>
      </c>
      <c r="AA172" s="77">
        <f t="shared" si="82"/>
        <v>1.0719137226334829E-3</v>
      </c>
      <c r="AB172" s="77">
        <f t="shared" si="82"/>
        <v>5.9242363788536694E-2</v>
      </c>
      <c r="AC172" s="77">
        <f t="shared" si="82"/>
        <v>0</v>
      </c>
      <c r="AD172" s="77">
        <f t="shared" si="82"/>
        <v>0</v>
      </c>
      <c r="AE172" s="77">
        <f t="shared" si="82"/>
        <v>0</v>
      </c>
      <c r="AF172" s="77">
        <f t="shared" si="82"/>
        <v>9.9170900209727464E-2</v>
      </c>
      <c r="AG172" s="77">
        <f t="shared" si="82"/>
        <v>7.2430399033619336E-2</v>
      </c>
      <c r="AH172" s="77">
        <f t="shared" si="82"/>
        <v>0</v>
      </c>
      <c r="AI172" s="111"/>
      <c r="AJ172" s="111"/>
      <c r="AK172" s="111"/>
      <c r="AL172" s="111"/>
      <c r="AM172" s="111"/>
      <c r="AN172" s="111"/>
      <c r="AO172" s="111"/>
      <c r="AP172" s="77">
        <f t="shared" ref="AP172" si="83">AP171/$A$171</f>
        <v>0</v>
      </c>
      <c r="AQ172" s="77">
        <f t="shared" ref="AQ172" si="84">AQ171/$A$171</f>
        <v>0</v>
      </c>
      <c r="AR172" s="111"/>
      <c r="AS172" s="77">
        <f t="shared" ref="AS172" si="85">AS171/$A$171</f>
        <v>0</v>
      </c>
      <c r="AT172" s="111"/>
      <c r="AU172" s="111"/>
      <c r="AV172" s="98">
        <f t="shared" ref="AV172" si="86">AV171/$A$171</f>
        <v>0</v>
      </c>
      <c r="AW172" s="98">
        <f t="shared" ref="AW172" si="87">AW171/$A$171</f>
        <v>0</v>
      </c>
      <c r="AX172" s="111"/>
      <c r="AY172" s="77">
        <f t="shared" ref="AY172" si="88">AY171/$A$171</f>
        <v>0</v>
      </c>
      <c r="AZ172" s="77">
        <f t="shared" ref="AZ172" si="89">AZ171/$A$171</f>
        <v>2.3975703022556936E-2</v>
      </c>
      <c r="BA172" s="77">
        <f t="shared" ref="BA172" si="90">BA171/$A$171</f>
        <v>0</v>
      </c>
      <c r="BB172" s="111"/>
      <c r="BC172" s="111"/>
      <c r="BD172" s="111"/>
      <c r="BE172" s="111"/>
      <c r="BF172" s="77">
        <f t="shared" ref="BF172" si="91">BF171/$A$171</f>
        <v>4.295646791541451E-4</v>
      </c>
      <c r="BG172" s="77">
        <f t="shared" ref="BG172" si="92">BG171/$A$171</f>
        <v>0</v>
      </c>
      <c r="BH172" s="77">
        <f t="shared" ref="BH172" si="93">BH171/$A$171</f>
        <v>0</v>
      </c>
      <c r="BI172" s="77">
        <f t="shared" ref="BI172" si="94">BI171/$A$171</f>
        <v>0</v>
      </c>
      <c r="BJ172" s="77">
        <f t="shared" ref="BJ172" si="95">BJ171/$A$171</f>
        <v>0</v>
      </c>
      <c r="BK172" s="77">
        <f t="shared" ref="BK172" si="96">BK171/$A$171</f>
        <v>0</v>
      </c>
      <c r="BL172" s="77">
        <f t="shared" ref="BL172" si="97">BL171/$A$171</f>
        <v>0</v>
      </c>
      <c r="BM172" s="77">
        <f t="shared" ref="BM172" si="98">BM171/$A$171</f>
        <v>0</v>
      </c>
      <c r="BN172" s="77">
        <f t="shared" ref="BN172" si="99">BN171/$A$171</f>
        <v>0</v>
      </c>
      <c r="BO172" s="77">
        <f t="shared" ref="BO172" si="100">BO171/$A$171</f>
        <v>0</v>
      </c>
      <c r="BP172" s="77">
        <f t="shared" ref="BP172" si="101">BP171/$A$171</f>
        <v>0</v>
      </c>
      <c r="BQ172" s="77">
        <f t="shared" ref="BQ172" si="102">BQ171/$A$171</f>
        <v>0</v>
      </c>
      <c r="BR172" s="77">
        <f t="shared" ref="BR172" si="103">BR171/$A$171</f>
        <v>0</v>
      </c>
      <c r="BS172" s="77">
        <f t="shared" ref="BS172" si="104">BS171/$A$171</f>
        <v>0</v>
      </c>
      <c r="BT172" s="77">
        <f t="shared" ref="BT172" si="105">BT171/$A$171</f>
        <v>0</v>
      </c>
      <c r="BU172" s="77">
        <f t="shared" ref="BU172" si="106">BU171/$A$171</f>
        <v>0</v>
      </c>
      <c r="BV172" s="77">
        <f t="shared" ref="BV172" si="107">BV171/$A$171</f>
        <v>0</v>
      </c>
      <c r="BW172" s="111"/>
      <c r="BX172" s="111"/>
      <c r="BY172" s="111"/>
      <c r="BZ172" s="77">
        <f t="shared" si="77"/>
        <v>0.99999999999999967</v>
      </c>
      <c r="CE172" s="83"/>
    </row>
    <row r="173" spans="1:84">
      <c r="A173" s="83">
        <f>BZ171-A171</f>
        <v>5628.2477336221345</v>
      </c>
      <c r="B173" s="111">
        <f>$A$173*B172</f>
        <v>0</v>
      </c>
      <c r="C173" s="111">
        <f t="shared" ref="C173:AH173" si="108">$A$173*C172</f>
        <v>958.44233620065802</v>
      </c>
      <c r="D173" s="111">
        <f t="shared" si="108"/>
        <v>955.54784754219509</v>
      </c>
      <c r="E173" s="111">
        <f t="shared" si="108"/>
        <v>0.33285495062346848</v>
      </c>
      <c r="F173" s="111">
        <f t="shared" si="108"/>
        <v>165.20513297616765</v>
      </c>
      <c r="G173" s="111">
        <f t="shared" si="108"/>
        <v>48.979156180256069</v>
      </c>
      <c r="H173" s="111">
        <f t="shared" si="108"/>
        <v>508.57200278351502</v>
      </c>
      <c r="I173" s="111">
        <f t="shared" si="108"/>
        <v>285.64015058351055</v>
      </c>
      <c r="J173" s="111">
        <f t="shared" si="108"/>
        <v>583.69714023723827</v>
      </c>
      <c r="K173" s="111">
        <f t="shared" si="108"/>
        <v>143.75510533041546</v>
      </c>
      <c r="L173" s="111">
        <f t="shared" si="108"/>
        <v>5.0501742677364767</v>
      </c>
      <c r="M173" s="111">
        <f t="shared" si="108"/>
        <v>138.15279666823255</v>
      </c>
      <c r="N173" s="111">
        <f t="shared" si="108"/>
        <v>277.01291010654001</v>
      </c>
      <c r="O173" s="111">
        <f t="shared" si="108"/>
        <v>1.7081306418819209</v>
      </c>
      <c r="P173" s="111">
        <f t="shared" si="108"/>
        <v>0</v>
      </c>
      <c r="Q173" s="111">
        <f t="shared" si="108"/>
        <v>0</v>
      </c>
      <c r="R173" s="111">
        <f t="shared" si="108"/>
        <v>0</v>
      </c>
      <c r="S173" s="111">
        <f t="shared" si="108"/>
        <v>0.11132648686393033</v>
      </c>
      <c r="T173" s="111">
        <f t="shared" si="108"/>
        <v>0</v>
      </c>
      <c r="U173" s="111">
        <f t="shared" si="108"/>
        <v>3.7266260350208595</v>
      </c>
      <c r="V173" s="111">
        <f t="shared" si="108"/>
        <v>0</v>
      </c>
      <c r="W173" s="111">
        <f t="shared" si="108"/>
        <v>0</v>
      </c>
      <c r="X173" s="111">
        <f t="shared" si="108"/>
        <v>92.159214453872806</v>
      </c>
      <c r="Y173" s="111">
        <f t="shared" si="108"/>
        <v>0</v>
      </c>
      <c r="Z173" s="111">
        <f t="shared" si="108"/>
        <v>17.517616286528352</v>
      </c>
      <c r="AA173" s="111">
        <f t="shared" si="108"/>
        <v>6.032995980050365</v>
      </c>
      <c r="AB173" s="111">
        <f t="shared" si="108"/>
        <v>333.43069972724965</v>
      </c>
      <c r="AC173" s="111">
        <f t="shared" si="108"/>
        <v>0</v>
      </c>
      <c r="AD173" s="111">
        <f t="shared" si="108"/>
        <v>0</v>
      </c>
      <c r="AE173" s="111">
        <f t="shared" si="108"/>
        <v>0</v>
      </c>
      <c r="AF173" s="111">
        <f t="shared" si="108"/>
        <v>558.15839434666543</v>
      </c>
      <c r="AG173" s="111">
        <f t="shared" si="108"/>
        <v>407.65622920631489</v>
      </c>
      <c r="AH173" s="111">
        <f t="shared" si="108"/>
        <v>0</v>
      </c>
      <c r="AI173" s="111"/>
      <c r="AJ173" s="111"/>
      <c r="AK173" s="111"/>
      <c r="AL173" s="111"/>
      <c r="AM173" s="111"/>
      <c r="AN173" s="111"/>
      <c r="AO173" s="111"/>
      <c r="AP173" s="111">
        <f t="shared" ref="AP173" si="109">$A$173*AP172</f>
        <v>0</v>
      </c>
      <c r="AQ173" s="111">
        <f t="shared" ref="AQ173" si="110">$A$173*AQ172</f>
        <v>0</v>
      </c>
      <c r="AR173" s="111"/>
      <c r="AS173" s="111">
        <f t="shared" ref="AS173" si="111">$A$173*AS172</f>
        <v>0</v>
      </c>
      <c r="AT173" s="111"/>
      <c r="AU173" s="111"/>
      <c r="AV173" s="111">
        <f t="shared" ref="AV173" si="112">$A$173*AV172</f>
        <v>0</v>
      </c>
      <c r="AW173" s="111">
        <f t="shared" ref="AW173" si="113">$A$173*AW172</f>
        <v>0</v>
      </c>
      <c r="AX173" s="111"/>
      <c r="AY173" s="111">
        <f t="shared" ref="AY173" si="114">$A$173*AY172</f>
        <v>0</v>
      </c>
      <c r="AZ173" s="111">
        <f t="shared" ref="AZ173" si="115">$A$173*AZ172</f>
        <v>134.94119619870344</v>
      </c>
      <c r="BA173" s="111">
        <f t="shared" ref="BA173" si="116">$A$173*BA172</f>
        <v>0</v>
      </c>
      <c r="BB173" s="111"/>
      <c r="BC173" s="111"/>
      <c r="BD173" s="111"/>
      <c r="BE173" s="111"/>
      <c r="BF173" s="111">
        <f t="shared" ref="BF173" si="117">$A$173*BF172</f>
        <v>2.4176964318934364</v>
      </c>
      <c r="BG173" s="111">
        <f t="shared" ref="BG173" si="118">$A$173*BG172</f>
        <v>0</v>
      </c>
      <c r="BH173" s="111">
        <f t="shared" ref="BH173" si="119">$A$173*BH172</f>
        <v>0</v>
      </c>
      <c r="BI173" s="111">
        <f t="shared" ref="BI173" si="120">$A$173*BI172</f>
        <v>0</v>
      </c>
      <c r="BJ173" s="111">
        <f t="shared" ref="BJ173" si="121">$A$173*BJ172</f>
        <v>0</v>
      </c>
      <c r="BK173" s="111">
        <f t="shared" ref="BK173" si="122">$A$173*BK172</f>
        <v>0</v>
      </c>
      <c r="BL173" s="111">
        <f t="shared" ref="BL173" si="123">$A$173*BL172</f>
        <v>0</v>
      </c>
      <c r="BM173" s="111">
        <f t="shared" ref="BM173" si="124">$A$173*BM172</f>
        <v>0</v>
      </c>
      <c r="BN173" s="111">
        <f t="shared" ref="BN173" si="125">$A$173*BN172</f>
        <v>0</v>
      </c>
      <c r="BO173" s="111">
        <f t="shared" ref="BO173" si="126">$A$173*BO172</f>
        <v>0</v>
      </c>
      <c r="BP173" s="111">
        <f t="shared" ref="BP173" si="127">$A$173*BP172</f>
        <v>0</v>
      </c>
      <c r="BQ173" s="111">
        <f t="shared" ref="BQ173" si="128">$A$173*BQ172</f>
        <v>0</v>
      </c>
      <c r="BR173" s="111">
        <f t="shared" ref="BR173" si="129">$A$173*BR172</f>
        <v>0</v>
      </c>
      <c r="BS173" s="111">
        <f t="shared" ref="BS173" si="130">$A$173*BS172</f>
        <v>0</v>
      </c>
      <c r="BT173" s="111">
        <f t="shared" ref="BT173" si="131">$A$173*BT172</f>
        <v>0</v>
      </c>
      <c r="BU173" s="111">
        <f t="shared" ref="BU173" si="132">$A$173*BU172</f>
        <v>0</v>
      </c>
      <c r="BV173" s="111">
        <f t="shared" ref="BV173" si="133">$A$173*BV172</f>
        <v>0</v>
      </c>
      <c r="BW173" s="111"/>
      <c r="BX173" s="111"/>
      <c r="BY173" s="111"/>
      <c r="BZ173" s="94">
        <f t="shared" si="77"/>
        <v>5628.2477336221327</v>
      </c>
      <c r="CE173" s="83"/>
    </row>
    <row r="174" spans="1:84">
      <c r="A174" s="95" t="s">
        <v>240</v>
      </c>
      <c r="B174" s="99">
        <f>B171+B173</f>
        <v>0</v>
      </c>
      <c r="C174" s="99">
        <f t="shared" ref="C174:AH174" si="134">C171+C173</f>
        <v>4697.9453396258132</v>
      </c>
      <c r="D174" s="99">
        <f t="shared" si="134"/>
        <v>4683.75757997662</v>
      </c>
      <c r="E174" s="99">
        <f t="shared" si="134"/>
        <v>1.6315372401553878</v>
      </c>
      <c r="F174" s="99">
        <f t="shared" si="134"/>
        <v>809.77713028023129</v>
      </c>
      <c r="G174" s="99">
        <f t="shared" si="134"/>
        <v>240.07850010881106</v>
      </c>
      <c r="H174" s="99">
        <f t="shared" si="134"/>
        <v>2492.8400803037689</v>
      </c>
      <c r="I174" s="99">
        <f t="shared" si="134"/>
        <v>1400.1069898094277</v>
      </c>
      <c r="J174" s="99">
        <f t="shared" si="134"/>
        <v>2861.0769330168132</v>
      </c>
      <c r="K174" s="99">
        <f t="shared" si="134"/>
        <v>704.63668144251528</v>
      </c>
      <c r="L174" s="99">
        <f t="shared" si="134"/>
        <v>24.75416805924948</v>
      </c>
      <c r="M174" s="99">
        <f t="shared" si="134"/>
        <v>677.17614586665627</v>
      </c>
      <c r="N174" s="99">
        <f t="shared" si="134"/>
        <v>1357.8193083686429</v>
      </c>
      <c r="O174" s="99">
        <f t="shared" si="134"/>
        <v>8.3726522560676813</v>
      </c>
      <c r="P174" s="99">
        <f t="shared" si="134"/>
        <v>0</v>
      </c>
      <c r="Q174" s="99">
        <f t="shared" si="134"/>
        <v>0</v>
      </c>
      <c r="R174" s="99">
        <f t="shared" si="134"/>
        <v>0</v>
      </c>
      <c r="S174" s="99">
        <f t="shared" si="134"/>
        <v>0.54568306343034922</v>
      </c>
      <c r="T174" s="99">
        <f t="shared" si="134"/>
        <v>0</v>
      </c>
      <c r="U174" s="99">
        <f t="shared" si="134"/>
        <v>18.266602749577547</v>
      </c>
      <c r="V174" s="99">
        <f t="shared" si="134"/>
        <v>0</v>
      </c>
      <c r="W174" s="99">
        <f t="shared" si="134"/>
        <v>0</v>
      </c>
      <c r="X174" s="99">
        <f t="shared" si="134"/>
        <v>451.73187336802278</v>
      </c>
      <c r="Y174" s="99">
        <f t="shared" si="134"/>
        <v>0</v>
      </c>
      <c r="Z174" s="99">
        <f t="shared" si="134"/>
        <v>85.865159213312936</v>
      </c>
      <c r="AA174" s="99">
        <f t="shared" si="134"/>
        <v>29.571612477816394</v>
      </c>
      <c r="AB174" s="99">
        <f t="shared" si="134"/>
        <v>1634.3593586248458</v>
      </c>
      <c r="AC174" s="99">
        <f t="shared" si="134"/>
        <v>0</v>
      </c>
      <c r="AD174" s="99">
        <f t="shared" si="134"/>
        <v>0</v>
      </c>
      <c r="AE174" s="99">
        <f t="shared" si="134"/>
        <v>0</v>
      </c>
      <c r="AF174" s="99">
        <f t="shared" si="134"/>
        <v>2735.8950334858373</v>
      </c>
      <c r="AG174" s="99">
        <f t="shared" si="134"/>
        <v>1998.1866512293618</v>
      </c>
      <c r="AH174" s="99">
        <f t="shared" si="134"/>
        <v>0</v>
      </c>
      <c r="AI174" s="99">
        <v>0</v>
      </c>
      <c r="AJ174" s="99">
        <v>0</v>
      </c>
      <c r="AK174" s="99">
        <v>0</v>
      </c>
      <c r="AL174" s="99">
        <v>0</v>
      </c>
      <c r="AM174" s="99">
        <v>0</v>
      </c>
      <c r="AN174" s="99">
        <v>0</v>
      </c>
      <c r="AO174" s="99">
        <v>0</v>
      </c>
      <c r="AP174" s="99">
        <f>AP171+AP173</f>
        <v>0</v>
      </c>
      <c r="AQ174" s="99">
        <f>AQ171+AQ173</f>
        <v>0</v>
      </c>
      <c r="AR174" s="99">
        <v>0</v>
      </c>
      <c r="AS174" s="99">
        <f>AS171+AS173</f>
        <v>0</v>
      </c>
      <c r="AT174" s="99">
        <v>0</v>
      </c>
      <c r="AU174" s="99">
        <v>0</v>
      </c>
      <c r="AV174" s="99">
        <f>AV171+AV173</f>
        <v>0</v>
      </c>
      <c r="AW174" s="99">
        <f>AW171+AW173</f>
        <v>0</v>
      </c>
      <c r="AX174" s="99">
        <v>0</v>
      </c>
      <c r="AY174" s="99">
        <f t="shared" ref="AY174:BA174" si="135">AY171+AY173</f>
        <v>0</v>
      </c>
      <c r="AZ174" s="99">
        <f t="shared" si="135"/>
        <v>661.43401627921116</v>
      </c>
      <c r="BA174" s="99">
        <f t="shared" si="135"/>
        <v>0</v>
      </c>
      <c r="BB174" s="99">
        <v>0</v>
      </c>
      <c r="BC174" s="99">
        <v>0</v>
      </c>
      <c r="BD174" s="99">
        <v>0</v>
      </c>
      <c r="BE174" s="99">
        <v>0</v>
      </c>
      <c r="BF174" s="99">
        <f>BF171+BF173</f>
        <v>11.8506927916692</v>
      </c>
      <c r="BG174" s="99">
        <f t="shared" ref="BG174:BV174" si="136">BG171+BG173</f>
        <v>0</v>
      </c>
      <c r="BH174" s="99">
        <f t="shared" si="136"/>
        <v>0</v>
      </c>
      <c r="BI174" s="99">
        <f t="shared" si="136"/>
        <v>0</v>
      </c>
      <c r="BJ174" s="99">
        <f t="shared" si="136"/>
        <v>0</v>
      </c>
      <c r="BK174" s="99">
        <f t="shared" si="136"/>
        <v>0</v>
      </c>
      <c r="BL174" s="99">
        <f t="shared" si="136"/>
        <v>0</v>
      </c>
      <c r="BM174" s="99">
        <f t="shared" si="136"/>
        <v>0</v>
      </c>
      <c r="BN174" s="99">
        <f t="shared" si="136"/>
        <v>0</v>
      </c>
      <c r="BO174" s="99">
        <f t="shared" si="136"/>
        <v>0</v>
      </c>
      <c r="BP174" s="99">
        <f t="shared" si="136"/>
        <v>0</v>
      </c>
      <c r="BQ174" s="99">
        <f t="shared" si="136"/>
        <v>0</v>
      </c>
      <c r="BR174" s="99">
        <f t="shared" si="136"/>
        <v>0</v>
      </c>
      <c r="BS174" s="99">
        <f t="shared" si="136"/>
        <v>0</v>
      </c>
      <c r="BT174" s="99">
        <f t="shared" si="136"/>
        <v>0</v>
      </c>
      <c r="BU174" s="99">
        <f t="shared" si="136"/>
        <v>0</v>
      </c>
      <c r="BV174" s="99">
        <f t="shared" si="136"/>
        <v>0</v>
      </c>
      <c r="BW174" s="99">
        <v>0</v>
      </c>
      <c r="BX174" s="99">
        <v>0</v>
      </c>
      <c r="BY174" s="99">
        <v>0</v>
      </c>
      <c r="BZ174" s="112">
        <f t="shared" si="77"/>
        <v>27587.679729637861</v>
      </c>
      <c r="CE174" s="83"/>
    </row>
    <row r="175" spans="1:84">
      <c r="A175" s="95" t="s">
        <v>241</v>
      </c>
    </row>
    <row r="177" spans="1:81">
      <c r="A177" t="s">
        <v>242</v>
      </c>
      <c r="B177">
        <v>0</v>
      </c>
      <c r="C177">
        <v>17207.04</v>
      </c>
      <c r="D177">
        <v>8821.9</v>
      </c>
      <c r="E177">
        <v>616.67999999999995</v>
      </c>
      <c r="F177">
        <v>1555.17</v>
      </c>
      <c r="G177">
        <v>0</v>
      </c>
      <c r="H177">
        <v>3806.66</v>
      </c>
      <c r="I177">
        <v>3826.14</v>
      </c>
      <c r="J177">
        <v>5356.68</v>
      </c>
      <c r="K177">
        <v>1785.96</v>
      </c>
      <c r="L177">
        <v>693.72</v>
      </c>
      <c r="M177">
        <v>1323.06</v>
      </c>
      <c r="N177">
        <v>2608.08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500</v>
      </c>
      <c r="Y177">
        <v>0</v>
      </c>
      <c r="Z177">
        <v>214.59</v>
      </c>
      <c r="AA177">
        <v>0</v>
      </c>
      <c r="AB177">
        <v>1050</v>
      </c>
      <c r="AC177">
        <v>0</v>
      </c>
      <c r="AD177">
        <v>0</v>
      </c>
      <c r="AE177">
        <v>0</v>
      </c>
      <c r="AF177">
        <v>4186.1400000000003</v>
      </c>
      <c r="AG177">
        <v>4592.67</v>
      </c>
      <c r="AH177">
        <v>0</v>
      </c>
      <c r="AI177">
        <v>308.33999999999997</v>
      </c>
      <c r="AJ177">
        <v>0</v>
      </c>
      <c r="AK177">
        <v>4311.43</v>
      </c>
      <c r="AL177">
        <v>13905.71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310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 s="109">
        <f>SUM(B177:BY177)</f>
        <v>76979.97</v>
      </c>
    </row>
    <row r="178" spans="1:81">
      <c r="B178" s="110">
        <f>B177/$BZ$177</f>
        <v>0</v>
      </c>
      <c r="C178" s="110">
        <f t="shared" ref="C178:BN178" si="137">C177/$BZ$177</f>
        <v>0.22352619778885338</v>
      </c>
      <c r="D178" s="110">
        <f t="shared" si="137"/>
        <v>0.11459994073783089</v>
      </c>
      <c r="E178" s="110">
        <f t="shared" si="137"/>
        <v>8.0109150471219977E-3</v>
      </c>
      <c r="F178" s="110">
        <f t="shared" si="137"/>
        <v>2.020226820041629E-2</v>
      </c>
      <c r="G178" s="110">
        <f t="shared" si="137"/>
        <v>0</v>
      </c>
      <c r="H178" s="110">
        <f t="shared" si="137"/>
        <v>4.9450006280854615E-2</v>
      </c>
      <c r="I178" s="110">
        <f t="shared" si="137"/>
        <v>4.9703059120443926E-2</v>
      </c>
      <c r="J178" s="110">
        <f t="shared" si="137"/>
        <v>6.9585373961564292E-2</v>
      </c>
      <c r="K178" s="110">
        <f t="shared" si="137"/>
        <v>2.3200320810725181E-2</v>
      </c>
      <c r="L178" s="110">
        <f t="shared" si="137"/>
        <v>9.0116948603643256E-3</v>
      </c>
      <c r="M178" s="110">
        <f t="shared" si="137"/>
        <v>1.7187068272435022E-2</v>
      </c>
      <c r="N178" s="110">
        <f t="shared" si="137"/>
        <v>3.3879982026493387E-2</v>
      </c>
      <c r="O178" s="110">
        <f t="shared" si="137"/>
        <v>0</v>
      </c>
      <c r="P178" s="110">
        <f t="shared" si="137"/>
        <v>0</v>
      </c>
      <c r="Q178" s="110">
        <f t="shared" si="137"/>
        <v>0</v>
      </c>
      <c r="R178" s="110">
        <f t="shared" si="137"/>
        <v>0</v>
      </c>
      <c r="S178" s="110">
        <f t="shared" si="137"/>
        <v>0</v>
      </c>
      <c r="T178" s="110">
        <f t="shared" si="137"/>
        <v>0</v>
      </c>
      <c r="U178" s="110">
        <f t="shared" si="137"/>
        <v>0</v>
      </c>
      <c r="V178" s="110">
        <f t="shared" si="137"/>
        <v>0</v>
      </c>
      <c r="W178" s="110">
        <f t="shared" si="137"/>
        <v>0</v>
      </c>
      <c r="X178" s="110">
        <f t="shared" si="137"/>
        <v>6.4951960880213384E-3</v>
      </c>
      <c r="Y178" s="110">
        <f t="shared" si="137"/>
        <v>0</v>
      </c>
      <c r="Z178" s="110">
        <f t="shared" si="137"/>
        <v>2.7876082570569981E-3</v>
      </c>
      <c r="AA178" s="110">
        <f t="shared" si="137"/>
        <v>0</v>
      </c>
      <c r="AB178" s="110">
        <f t="shared" si="137"/>
        <v>1.363991178484481E-2</v>
      </c>
      <c r="AC178" s="110">
        <f t="shared" si="137"/>
        <v>0</v>
      </c>
      <c r="AD178" s="110">
        <f t="shared" si="137"/>
        <v>0</v>
      </c>
      <c r="AE178" s="110">
        <f t="shared" si="137"/>
        <v>0</v>
      </c>
      <c r="AF178" s="110">
        <f t="shared" si="137"/>
        <v>5.4379600303819296E-2</v>
      </c>
      <c r="AG178" s="110">
        <f t="shared" si="137"/>
        <v>5.9660584435145922E-2</v>
      </c>
      <c r="AH178" s="110">
        <f t="shared" si="137"/>
        <v>0</v>
      </c>
      <c r="AI178" s="110">
        <f t="shared" si="137"/>
        <v>4.0054575235609988E-3</v>
      </c>
      <c r="AJ178" s="110">
        <f t="shared" si="137"/>
        <v>0</v>
      </c>
      <c r="AK178" s="110">
        <f t="shared" si="137"/>
        <v>5.6007166539555682E-2</v>
      </c>
      <c r="AL178" s="110">
        <f t="shared" si="137"/>
        <v>0.18064062638631839</v>
      </c>
      <c r="AM178" s="110">
        <f t="shared" si="137"/>
        <v>0</v>
      </c>
      <c r="AN178" s="110">
        <f t="shared" si="137"/>
        <v>0</v>
      </c>
      <c r="AO178" s="110">
        <f t="shared" si="137"/>
        <v>0</v>
      </c>
      <c r="AP178" s="110">
        <f t="shared" si="137"/>
        <v>0</v>
      </c>
      <c r="AQ178" s="110">
        <f t="shared" si="137"/>
        <v>0</v>
      </c>
      <c r="AR178" s="110">
        <f t="shared" si="137"/>
        <v>0</v>
      </c>
      <c r="AS178" s="110">
        <f t="shared" si="137"/>
        <v>0</v>
      </c>
      <c r="AT178" s="110">
        <f t="shared" si="137"/>
        <v>0</v>
      </c>
      <c r="AU178" s="110">
        <f t="shared" si="137"/>
        <v>0</v>
      </c>
      <c r="AV178" s="110">
        <f t="shared" si="137"/>
        <v>0</v>
      </c>
      <c r="AW178" s="110">
        <f t="shared" si="137"/>
        <v>0</v>
      </c>
      <c r="AX178" s="110">
        <f t="shared" si="137"/>
        <v>0</v>
      </c>
      <c r="AY178" s="110">
        <f t="shared" si="137"/>
        <v>0</v>
      </c>
      <c r="AZ178" s="110">
        <f t="shared" si="137"/>
        <v>0</v>
      </c>
      <c r="BA178" s="110">
        <f t="shared" si="137"/>
        <v>0</v>
      </c>
      <c r="BB178" s="110">
        <f t="shared" si="137"/>
        <v>0</v>
      </c>
      <c r="BC178" s="110">
        <f t="shared" si="137"/>
        <v>0</v>
      </c>
      <c r="BD178" s="110">
        <f t="shared" si="137"/>
        <v>0</v>
      </c>
      <c r="BE178" s="110">
        <f t="shared" si="137"/>
        <v>4.0270215745732297E-3</v>
      </c>
      <c r="BF178" s="110">
        <f t="shared" si="137"/>
        <v>0</v>
      </c>
      <c r="BG178" s="110">
        <f t="shared" si="137"/>
        <v>0</v>
      </c>
      <c r="BH178" s="110">
        <f t="shared" si="137"/>
        <v>0</v>
      </c>
      <c r="BI178" s="110">
        <f t="shared" si="137"/>
        <v>0</v>
      </c>
      <c r="BJ178" s="110">
        <f t="shared" si="137"/>
        <v>0</v>
      </c>
      <c r="BK178" s="110">
        <f t="shared" si="137"/>
        <v>0</v>
      </c>
      <c r="BL178" s="110">
        <f t="shared" si="137"/>
        <v>0</v>
      </c>
      <c r="BM178" s="110">
        <f t="shared" si="137"/>
        <v>0</v>
      </c>
      <c r="BN178" s="110">
        <f t="shared" si="137"/>
        <v>0</v>
      </c>
      <c r="BO178" s="110">
        <f t="shared" ref="BO178:BY178" si="138">BO177/$BZ$177</f>
        <v>0</v>
      </c>
      <c r="BP178" s="110">
        <f t="shared" si="138"/>
        <v>0</v>
      </c>
      <c r="BQ178" s="110">
        <f t="shared" si="138"/>
        <v>0</v>
      </c>
      <c r="BR178" s="110">
        <f t="shared" si="138"/>
        <v>0</v>
      </c>
      <c r="BS178" s="110">
        <f t="shared" si="138"/>
        <v>0</v>
      </c>
      <c r="BT178" s="110">
        <f t="shared" si="138"/>
        <v>0</v>
      </c>
      <c r="BU178" s="110">
        <f t="shared" si="138"/>
        <v>0</v>
      </c>
      <c r="BV178" s="110">
        <f t="shared" si="138"/>
        <v>0</v>
      </c>
      <c r="BW178" s="110">
        <f t="shared" si="138"/>
        <v>0</v>
      </c>
      <c r="BX178" s="110">
        <f t="shared" si="138"/>
        <v>0</v>
      </c>
      <c r="BY178" s="110">
        <f t="shared" si="138"/>
        <v>0</v>
      </c>
      <c r="BZ178" s="110">
        <f>SUM(B178:BY178)</f>
        <v>0.99999999999999989</v>
      </c>
    </row>
    <row r="179" spans="1:81">
      <c r="B179" s="83">
        <f>$C$164*B178</f>
        <v>0</v>
      </c>
      <c r="C179" s="83">
        <f t="shared" ref="C179:BN179" si="139">$C$164*C178</f>
        <v>3450.3481538067626</v>
      </c>
      <c r="D179" s="83">
        <f t="shared" si="139"/>
        <v>1768.9635392297503</v>
      </c>
      <c r="E179" s="83">
        <f t="shared" si="139"/>
        <v>123.65640455822468</v>
      </c>
      <c r="F179" s="83">
        <f t="shared" si="139"/>
        <v>311.84200991894386</v>
      </c>
      <c r="G179" s="83">
        <f t="shared" si="139"/>
        <v>0</v>
      </c>
      <c r="H179" s="83">
        <f t="shared" si="139"/>
        <v>763.30980245120907</v>
      </c>
      <c r="I179" s="83">
        <f t="shared" si="139"/>
        <v>767.21592355258122</v>
      </c>
      <c r="J179" s="83">
        <f t="shared" si="139"/>
        <v>1074.1191366169669</v>
      </c>
      <c r="K179" s="83">
        <f t="shared" si="139"/>
        <v>358.1199200311458</v>
      </c>
      <c r="L179" s="83">
        <f t="shared" si="139"/>
        <v>139.10443174763512</v>
      </c>
      <c r="M179" s="83">
        <f t="shared" si="139"/>
        <v>265.29941398262429</v>
      </c>
      <c r="N179" s="83">
        <f t="shared" si="139"/>
        <v>522.97106376113163</v>
      </c>
      <c r="O179" s="83">
        <f t="shared" si="139"/>
        <v>0</v>
      </c>
      <c r="P179" s="83">
        <f t="shared" si="139"/>
        <v>0</v>
      </c>
      <c r="Q179" s="83">
        <f t="shared" si="139"/>
        <v>0</v>
      </c>
      <c r="R179" s="83">
        <f t="shared" si="139"/>
        <v>0</v>
      </c>
      <c r="S179" s="83">
        <f t="shared" si="139"/>
        <v>0</v>
      </c>
      <c r="T179" s="83">
        <f t="shared" si="139"/>
        <v>0</v>
      </c>
      <c r="U179" s="83">
        <f t="shared" si="139"/>
        <v>0</v>
      </c>
      <c r="V179" s="83">
        <f t="shared" si="139"/>
        <v>0</v>
      </c>
      <c r="W179" s="83">
        <f t="shared" si="139"/>
        <v>0</v>
      </c>
      <c r="X179" s="83">
        <f t="shared" si="139"/>
        <v>100.2597818627365</v>
      </c>
      <c r="Y179" s="83">
        <f t="shared" si="139"/>
        <v>0</v>
      </c>
      <c r="Z179" s="83">
        <f t="shared" si="139"/>
        <v>43.029493179849254</v>
      </c>
      <c r="AA179" s="83">
        <f t="shared" si="139"/>
        <v>0</v>
      </c>
      <c r="AB179" s="83">
        <f t="shared" si="139"/>
        <v>210.54554191174662</v>
      </c>
      <c r="AC179" s="83">
        <f t="shared" si="139"/>
        <v>0</v>
      </c>
      <c r="AD179" s="83">
        <f t="shared" si="139"/>
        <v>0</v>
      </c>
      <c r="AE179" s="83">
        <f t="shared" si="139"/>
        <v>0</v>
      </c>
      <c r="AF179" s="83">
        <f t="shared" si="139"/>
        <v>839.40296649375159</v>
      </c>
      <c r="AG179" s="83">
        <f t="shared" si="139"/>
        <v>920.92018473506812</v>
      </c>
      <c r="AH179" s="83">
        <f t="shared" si="139"/>
        <v>0</v>
      </c>
      <c r="AI179" s="83">
        <f t="shared" si="139"/>
        <v>61.82820227911234</v>
      </c>
      <c r="AJ179" s="83">
        <f t="shared" si="139"/>
        <v>0</v>
      </c>
      <c r="AK179" s="83">
        <f t="shared" si="139"/>
        <v>864.52606263291614</v>
      </c>
      <c r="AL179" s="83">
        <f t="shared" si="139"/>
        <v>2788.3669024929468</v>
      </c>
      <c r="AM179" s="83">
        <f t="shared" si="139"/>
        <v>0</v>
      </c>
      <c r="AN179" s="83">
        <f t="shared" si="139"/>
        <v>0</v>
      </c>
      <c r="AO179" s="83">
        <f t="shared" si="139"/>
        <v>0</v>
      </c>
      <c r="AP179" s="83">
        <f t="shared" si="139"/>
        <v>0</v>
      </c>
      <c r="AQ179" s="83">
        <f t="shared" si="139"/>
        <v>0</v>
      </c>
      <c r="AR179" s="83">
        <f t="shared" si="139"/>
        <v>0</v>
      </c>
      <c r="AS179" s="83">
        <f t="shared" si="139"/>
        <v>0</v>
      </c>
      <c r="AT179" s="83">
        <f t="shared" si="139"/>
        <v>0</v>
      </c>
      <c r="AU179" s="83">
        <f t="shared" si="139"/>
        <v>0</v>
      </c>
      <c r="AV179" s="83">
        <f t="shared" si="139"/>
        <v>0</v>
      </c>
      <c r="AW179" s="83">
        <f t="shared" si="139"/>
        <v>0</v>
      </c>
      <c r="AX179" s="83">
        <f t="shared" si="139"/>
        <v>0</v>
      </c>
      <c r="AY179" s="83">
        <f t="shared" si="139"/>
        <v>0</v>
      </c>
      <c r="AZ179" s="83">
        <f t="shared" si="139"/>
        <v>0</v>
      </c>
      <c r="BA179" s="83">
        <f t="shared" si="139"/>
        <v>0</v>
      </c>
      <c r="BB179" s="83">
        <f t="shared" si="139"/>
        <v>0</v>
      </c>
      <c r="BC179" s="83">
        <f t="shared" si="139"/>
        <v>0</v>
      </c>
      <c r="BD179" s="83">
        <f t="shared" si="139"/>
        <v>0</v>
      </c>
      <c r="BE179" s="83">
        <f t="shared" si="139"/>
        <v>62.161064754896628</v>
      </c>
      <c r="BF179" s="83">
        <f t="shared" si="139"/>
        <v>0</v>
      </c>
      <c r="BG179" s="83">
        <f t="shared" si="139"/>
        <v>0</v>
      </c>
      <c r="BH179" s="83">
        <f t="shared" si="139"/>
        <v>0</v>
      </c>
      <c r="BI179" s="83">
        <f t="shared" si="139"/>
        <v>0</v>
      </c>
      <c r="BJ179" s="83">
        <f t="shared" si="139"/>
        <v>0</v>
      </c>
      <c r="BK179" s="83">
        <f t="shared" si="139"/>
        <v>0</v>
      </c>
      <c r="BL179" s="83">
        <f t="shared" si="139"/>
        <v>0</v>
      </c>
      <c r="BM179" s="83">
        <f t="shared" si="139"/>
        <v>0</v>
      </c>
      <c r="BN179" s="83">
        <f t="shared" si="139"/>
        <v>0</v>
      </c>
      <c r="BO179" s="83">
        <f t="shared" ref="BO179:BY179" si="140">$C$164*BO178</f>
        <v>0</v>
      </c>
      <c r="BP179" s="83">
        <f t="shared" si="140"/>
        <v>0</v>
      </c>
      <c r="BQ179" s="83">
        <f t="shared" si="140"/>
        <v>0</v>
      </c>
      <c r="BR179" s="83">
        <f t="shared" si="140"/>
        <v>0</v>
      </c>
      <c r="BS179" s="83">
        <f t="shared" si="140"/>
        <v>0</v>
      </c>
      <c r="BT179" s="83">
        <f t="shared" si="140"/>
        <v>0</v>
      </c>
      <c r="BU179" s="83">
        <f t="shared" si="140"/>
        <v>0</v>
      </c>
      <c r="BV179" s="83">
        <f t="shared" si="140"/>
        <v>0</v>
      </c>
      <c r="BW179" s="83">
        <f t="shared" si="140"/>
        <v>0</v>
      </c>
      <c r="BX179" s="83">
        <f t="shared" si="140"/>
        <v>0</v>
      </c>
      <c r="BY179" s="83">
        <f t="shared" si="140"/>
        <v>0</v>
      </c>
      <c r="BZ179">
        <f>SUM(B179:BY179)</f>
        <v>15435.99</v>
      </c>
      <c r="CB179">
        <f>BZ165+BZ179</f>
        <v>22356.309999999998</v>
      </c>
      <c r="CC179" s="77">
        <f>BZ165/CB179</f>
        <v>0.30954661122519761</v>
      </c>
    </row>
    <row r="180" spans="1:81">
      <c r="CC180" s="77">
        <f>BZ179/CB179</f>
        <v>0.69045338877480233</v>
      </c>
    </row>
    <row r="181" spans="1:81">
      <c r="A181" t="s">
        <v>243</v>
      </c>
      <c r="B181" s="83">
        <f>B177-B179</f>
        <v>0</v>
      </c>
      <c r="C181" s="83">
        <f t="shared" ref="C181:BN181" si="141">C177-C179</f>
        <v>13756.691846193238</v>
      </c>
      <c r="D181" s="83">
        <f t="shared" si="141"/>
        <v>7052.9364607702491</v>
      </c>
      <c r="E181" s="83">
        <f t="shared" si="141"/>
        <v>493.02359544177529</v>
      </c>
      <c r="F181" s="83">
        <f t="shared" si="141"/>
        <v>1243.3279900810562</v>
      </c>
      <c r="G181" s="83">
        <f t="shared" si="141"/>
        <v>0</v>
      </c>
      <c r="H181" s="83">
        <f t="shared" si="141"/>
        <v>3043.3501975487907</v>
      </c>
      <c r="I181" s="83">
        <f t="shared" si="141"/>
        <v>3058.9240764474189</v>
      </c>
      <c r="J181" s="83">
        <f t="shared" si="141"/>
        <v>4282.5608633830334</v>
      </c>
      <c r="K181" s="83">
        <f t="shared" si="141"/>
        <v>1427.8400799688543</v>
      </c>
      <c r="L181" s="83">
        <f t="shared" si="141"/>
        <v>554.61556825236494</v>
      </c>
      <c r="M181" s="83">
        <f t="shared" si="141"/>
        <v>1057.7605860173758</v>
      </c>
      <c r="N181" s="83">
        <f t="shared" si="141"/>
        <v>2085.1089362388684</v>
      </c>
      <c r="O181" s="83">
        <f t="shared" si="141"/>
        <v>0</v>
      </c>
      <c r="P181" s="83">
        <f t="shared" si="141"/>
        <v>0</v>
      </c>
      <c r="Q181" s="83">
        <f t="shared" si="141"/>
        <v>0</v>
      </c>
      <c r="R181" s="83">
        <f t="shared" si="141"/>
        <v>0</v>
      </c>
      <c r="S181" s="83">
        <f t="shared" si="141"/>
        <v>0</v>
      </c>
      <c r="T181" s="83">
        <f t="shared" si="141"/>
        <v>0</v>
      </c>
      <c r="U181" s="83">
        <f t="shared" si="141"/>
        <v>0</v>
      </c>
      <c r="V181" s="83">
        <f t="shared" si="141"/>
        <v>0</v>
      </c>
      <c r="W181" s="83">
        <f t="shared" si="141"/>
        <v>0</v>
      </c>
      <c r="X181" s="83">
        <f t="shared" si="141"/>
        <v>399.74021813726347</v>
      </c>
      <c r="Y181" s="83">
        <f t="shared" si="141"/>
        <v>0</v>
      </c>
      <c r="Z181" s="83">
        <f t="shared" si="141"/>
        <v>171.56050682015075</v>
      </c>
      <c r="AA181" s="83">
        <f t="shared" si="141"/>
        <v>0</v>
      </c>
      <c r="AB181" s="83">
        <f t="shared" si="141"/>
        <v>839.45445808825343</v>
      </c>
      <c r="AC181" s="83">
        <f t="shared" si="141"/>
        <v>0</v>
      </c>
      <c r="AD181" s="83">
        <f t="shared" si="141"/>
        <v>0</v>
      </c>
      <c r="AE181" s="83">
        <f t="shared" si="141"/>
        <v>0</v>
      </c>
      <c r="AF181" s="83">
        <f t="shared" si="141"/>
        <v>3346.7370335062487</v>
      </c>
      <c r="AG181" s="83">
        <f t="shared" si="141"/>
        <v>3671.7498152649318</v>
      </c>
      <c r="AH181" s="83">
        <f t="shared" si="141"/>
        <v>0</v>
      </c>
      <c r="AI181" s="83">
        <f t="shared" si="141"/>
        <v>246.51179772088764</v>
      </c>
      <c r="AJ181" s="83">
        <f t="shared" si="141"/>
        <v>0</v>
      </c>
      <c r="AK181" s="83">
        <f t="shared" si="141"/>
        <v>3446.9039373670839</v>
      </c>
      <c r="AL181" s="83">
        <f t="shared" si="141"/>
        <v>11117.343097507051</v>
      </c>
      <c r="AM181" s="83">
        <f t="shared" si="141"/>
        <v>0</v>
      </c>
      <c r="AN181" s="83">
        <f t="shared" si="141"/>
        <v>0</v>
      </c>
      <c r="AO181" s="83">
        <f t="shared" si="141"/>
        <v>0</v>
      </c>
      <c r="AP181" s="83">
        <f t="shared" si="141"/>
        <v>0</v>
      </c>
      <c r="AQ181" s="83">
        <f t="shared" si="141"/>
        <v>0</v>
      </c>
      <c r="AR181" s="83">
        <f t="shared" si="141"/>
        <v>0</v>
      </c>
      <c r="AS181" s="83">
        <f t="shared" si="141"/>
        <v>0</v>
      </c>
      <c r="AT181" s="83">
        <f t="shared" si="141"/>
        <v>0</v>
      </c>
      <c r="AU181" s="83">
        <f t="shared" si="141"/>
        <v>0</v>
      </c>
      <c r="AV181" s="83">
        <f t="shared" si="141"/>
        <v>0</v>
      </c>
      <c r="AW181" s="83">
        <f t="shared" si="141"/>
        <v>0</v>
      </c>
      <c r="AX181" s="83">
        <f t="shared" si="141"/>
        <v>0</v>
      </c>
      <c r="AY181" s="83">
        <f t="shared" si="141"/>
        <v>0</v>
      </c>
      <c r="AZ181" s="83">
        <f t="shared" si="141"/>
        <v>0</v>
      </c>
      <c r="BA181" s="83">
        <f t="shared" si="141"/>
        <v>0</v>
      </c>
      <c r="BB181" s="83">
        <f t="shared" si="141"/>
        <v>0</v>
      </c>
      <c r="BC181" s="83">
        <f t="shared" si="141"/>
        <v>0</v>
      </c>
      <c r="BD181" s="83">
        <f t="shared" si="141"/>
        <v>0</v>
      </c>
      <c r="BE181" s="83">
        <f t="shared" si="141"/>
        <v>247.83893524510336</v>
      </c>
      <c r="BF181" s="83">
        <f t="shared" si="141"/>
        <v>0</v>
      </c>
      <c r="BG181" s="83">
        <f t="shared" si="141"/>
        <v>0</v>
      </c>
      <c r="BH181" s="83">
        <f t="shared" si="141"/>
        <v>0</v>
      </c>
      <c r="BI181" s="83">
        <f t="shared" si="141"/>
        <v>0</v>
      </c>
      <c r="BJ181" s="83">
        <f t="shared" si="141"/>
        <v>0</v>
      </c>
      <c r="BK181" s="83">
        <f t="shared" si="141"/>
        <v>0</v>
      </c>
      <c r="BL181" s="83">
        <f t="shared" si="141"/>
        <v>0</v>
      </c>
      <c r="BM181" s="83">
        <f t="shared" si="141"/>
        <v>0</v>
      </c>
      <c r="BN181" s="83">
        <f t="shared" si="141"/>
        <v>0</v>
      </c>
      <c r="BO181" s="83">
        <f t="shared" ref="BO181:BY181" si="142">BO177-BO179</f>
        <v>0</v>
      </c>
      <c r="BP181" s="83">
        <f t="shared" si="142"/>
        <v>0</v>
      </c>
      <c r="BQ181" s="83">
        <f t="shared" si="142"/>
        <v>0</v>
      </c>
      <c r="BR181" s="83">
        <f t="shared" si="142"/>
        <v>0</v>
      </c>
      <c r="BS181" s="83">
        <f t="shared" si="142"/>
        <v>0</v>
      </c>
      <c r="BT181" s="83">
        <f t="shared" si="142"/>
        <v>0</v>
      </c>
      <c r="BU181" s="83">
        <f t="shared" si="142"/>
        <v>0</v>
      </c>
      <c r="BV181" s="83">
        <f t="shared" si="142"/>
        <v>0</v>
      </c>
      <c r="BW181" s="83">
        <f t="shared" si="142"/>
        <v>0</v>
      </c>
      <c r="BX181" s="83">
        <f t="shared" si="142"/>
        <v>0</v>
      </c>
      <c r="BY181" s="83">
        <f t="shared" si="142"/>
        <v>0</v>
      </c>
      <c r="BZ181" s="83">
        <f>SUM(B181:BY181)</f>
        <v>61543.979999999996</v>
      </c>
    </row>
    <row r="182" spans="1:81">
      <c r="B182" s="83">
        <f>$CE$167*B178</f>
        <v>0</v>
      </c>
      <c r="C182" s="83">
        <f t="shared" ref="C182:BN182" si="143">$CE$167*C178</f>
        <v>3769.655266915116</v>
      </c>
      <c r="D182" s="83">
        <f t="shared" si="143"/>
        <v>1932.669523590255</v>
      </c>
      <c r="E182" s="83">
        <f t="shared" si="143"/>
        <v>135.09999453719021</v>
      </c>
      <c r="F182" s="83">
        <f t="shared" si="143"/>
        <v>340.70094458130978</v>
      </c>
      <c r="G182" s="83">
        <f t="shared" si="143"/>
        <v>0</v>
      </c>
      <c r="H182" s="83">
        <f t="shared" si="143"/>
        <v>833.94912305399976</v>
      </c>
      <c r="I182" s="83">
        <f t="shared" si="143"/>
        <v>838.2167300683094</v>
      </c>
      <c r="J182" s="83">
        <f t="shared" si="143"/>
        <v>1173.5218245078099</v>
      </c>
      <c r="K182" s="83">
        <f t="shared" si="143"/>
        <v>391.26157203677803</v>
      </c>
      <c r="L182" s="83">
        <f t="shared" si="143"/>
        <v>151.97763541924434</v>
      </c>
      <c r="M182" s="83">
        <f t="shared" si="143"/>
        <v>289.85113636306494</v>
      </c>
      <c r="N182" s="83">
        <f t="shared" si="143"/>
        <v>571.36860892611264</v>
      </c>
      <c r="O182" s="83">
        <f t="shared" si="143"/>
        <v>0</v>
      </c>
      <c r="P182" s="83">
        <f t="shared" si="143"/>
        <v>0</v>
      </c>
      <c r="Q182" s="83">
        <f t="shared" si="143"/>
        <v>0</v>
      </c>
      <c r="R182" s="83">
        <f t="shared" si="143"/>
        <v>0</v>
      </c>
      <c r="S182" s="83">
        <f t="shared" si="143"/>
        <v>0</v>
      </c>
      <c r="T182" s="83">
        <f t="shared" si="143"/>
        <v>0</v>
      </c>
      <c r="U182" s="83">
        <f t="shared" si="143"/>
        <v>0</v>
      </c>
      <c r="V182" s="83">
        <f t="shared" si="143"/>
        <v>0</v>
      </c>
      <c r="W182" s="83">
        <f t="shared" si="143"/>
        <v>0</v>
      </c>
      <c r="X182" s="83">
        <f t="shared" si="143"/>
        <v>109.53816771841979</v>
      </c>
      <c r="Y182" s="83">
        <f t="shared" si="143"/>
        <v>0</v>
      </c>
      <c r="Z182" s="83">
        <f t="shared" si="143"/>
        <v>47.011590821391408</v>
      </c>
      <c r="AA182" s="83">
        <f t="shared" si="143"/>
        <v>0</v>
      </c>
      <c r="AB182" s="83">
        <f t="shared" si="143"/>
        <v>230.03015220868153</v>
      </c>
      <c r="AC182" s="83">
        <f t="shared" si="143"/>
        <v>0</v>
      </c>
      <c r="AD182" s="83">
        <f t="shared" si="143"/>
        <v>0</v>
      </c>
      <c r="AE182" s="83">
        <f t="shared" si="143"/>
        <v>0</v>
      </c>
      <c r="AF182" s="83">
        <f t="shared" si="143"/>
        <v>917.08421082557174</v>
      </c>
      <c r="AG182" s="83">
        <f t="shared" si="143"/>
        <v>1006.14531347071</v>
      </c>
      <c r="AH182" s="83">
        <f t="shared" si="143"/>
        <v>0</v>
      </c>
      <c r="AI182" s="83">
        <f t="shared" si="143"/>
        <v>67.549997268595106</v>
      </c>
      <c r="AJ182" s="83">
        <f t="shared" si="143"/>
        <v>0</v>
      </c>
      <c r="AK182" s="83">
        <f t="shared" si="143"/>
        <v>944.53228489245328</v>
      </c>
      <c r="AL182" s="83">
        <f t="shared" si="143"/>
        <v>3046.4119884474139</v>
      </c>
      <c r="AM182" s="83">
        <f t="shared" si="143"/>
        <v>0</v>
      </c>
      <c r="AN182" s="83">
        <f t="shared" si="143"/>
        <v>0</v>
      </c>
      <c r="AO182" s="83">
        <f t="shared" si="143"/>
        <v>0</v>
      </c>
      <c r="AP182" s="83">
        <f t="shared" si="143"/>
        <v>0</v>
      </c>
      <c r="AQ182" s="83">
        <f t="shared" si="143"/>
        <v>0</v>
      </c>
      <c r="AR182" s="83">
        <f t="shared" si="143"/>
        <v>0</v>
      </c>
      <c r="AS182" s="83">
        <f t="shared" si="143"/>
        <v>0</v>
      </c>
      <c r="AT182" s="83">
        <f t="shared" si="143"/>
        <v>0</v>
      </c>
      <c r="AU182" s="83">
        <f t="shared" si="143"/>
        <v>0</v>
      </c>
      <c r="AV182" s="83">
        <f t="shared" si="143"/>
        <v>0</v>
      </c>
      <c r="AW182" s="83">
        <f t="shared" si="143"/>
        <v>0</v>
      </c>
      <c r="AX182" s="83">
        <f t="shared" si="143"/>
        <v>0</v>
      </c>
      <c r="AY182" s="83">
        <f t="shared" si="143"/>
        <v>0</v>
      </c>
      <c r="AZ182" s="83">
        <f t="shared" si="143"/>
        <v>0</v>
      </c>
      <c r="BA182" s="83">
        <f t="shared" si="143"/>
        <v>0</v>
      </c>
      <c r="BB182" s="83">
        <f t="shared" si="143"/>
        <v>0</v>
      </c>
      <c r="BC182" s="83">
        <f t="shared" si="143"/>
        <v>0</v>
      </c>
      <c r="BD182" s="83">
        <f t="shared" si="143"/>
        <v>0</v>
      </c>
      <c r="BE182" s="83">
        <f t="shared" si="143"/>
        <v>67.913663985420271</v>
      </c>
      <c r="BF182" s="83">
        <f t="shared" si="143"/>
        <v>0</v>
      </c>
      <c r="BG182" s="83">
        <f t="shared" si="143"/>
        <v>0</v>
      </c>
      <c r="BH182" s="83">
        <f t="shared" si="143"/>
        <v>0</v>
      </c>
      <c r="BI182" s="83">
        <f t="shared" si="143"/>
        <v>0</v>
      </c>
      <c r="BJ182" s="83">
        <f t="shared" si="143"/>
        <v>0</v>
      </c>
      <c r="BK182" s="83">
        <f t="shared" si="143"/>
        <v>0</v>
      </c>
      <c r="BL182" s="83">
        <f t="shared" si="143"/>
        <v>0</v>
      </c>
      <c r="BM182" s="83">
        <f t="shared" si="143"/>
        <v>0</v>
      </c>
      <c r="BN182" s="83">
        <f t="shared" si="143"/>
        <v>0</v>
      </c>
      <c r="BO182" s="83">
        <f t="shared" ref="BO182:BY182" si="144">$CE$167*BO178</f>
        <v>0</v>
      </c>
      <c r="BP182" s="83">
        <f t="shared" si="144"/>
        <v>0</v>
      </c>
      <c r="BQ182" s="83">
        <f t="shared" si="144"/>
        <v>0</v>
      </c>
      <c r="BR182" s="83">
        <f t="shared" si="144"/>
        <v>0</v>
      </c>
      <c r="BS182" s="83">
        <f t="shared" si="144"/>
        <v>0</v>
      </c>
      <c r="BT182" s="83">
        <f t="shared" si="144"/>
        <v>0</v>
      </c>
      <c r="BU182" s="83">
        <f t="shared" si="144"/>
        <v>0</v>
      </c>
      <c r="BV182" s="83">
        <f t="shared" si="144"/>
        <v>0</v>
      </c>
      <c r="BW182" s="83">
        <f t="shared" si="144"/>
        <v>0</v>
      </c>
      <c r="BX182" s="83">
        <f t="shared" si="144"/>
        <v>0</v>
      </c>
      <c r="BY182" s="83">
        <f t="shared" si="144"/>
        <v>0</v>
      </c>
      <c r="BZ182" s="83">
        <f>SUM(B182:BY182)</f>
        <v>16864.489729637844</v>
      </c>
    </row>
    <row r="183" spans="1:81">
      <c r="B183" s="111">
        <f>(B181-B182)*1.03</f>
        <v>0</v>
      </c>
      <c r="C183" s="111">
        <f t="shared" ref="C183:BN183" si="145">(C181-C182)*1.03</f>
        <v>10286.647676656467</v>
      </c>
      <c r="D183" s="111">
        <f t="shared" si="145"/>
        <v>5273.8749452953934</v>
      </c>
      <c r="E183" s="111">
        <f t="shared" si="145"/>
        <v>368.66130893172266</v>
      </c>
      <c r="F183" s="111">
        <f t="shared" si="145"/>
        <v>929.70585686473873</v>
      </c>
      <c r="G183" s="111">
        <f t="shared" si="145"/>
        <v>0</v>
      </c>
      <c r="H183" s="111">
        <f t="shared" si="145"/>
        <v>2275.6831067296348</v>
      </c>
      <c r="I183" s="111">
        <f t="shared" si="145"/>
        <v>2287.3285667704827</v>
      </c>
      <c r="J183" s="111">
        <f t="shared" si="145"/>
        <v>3202.3102100414803</v>
      </c>
      <c r="K183" s="111">
        <f t="shared" si="145"/>
        <v>1067.6758631700386</v>
      </c>
      <c r="L183" s="111">
        <f t="shared" si="145"/>
        <v>414.71707081811422</v>
      </c>
      <c r="M183" s="111">
        <f t="shared" si="145"/>
        <v>790.94673314394015</v>
      </c>
      <c r="N183" s="111">
        <f t="shared" si="145"/>
        <v>1559.1525371321384</v>
      </c>
      <c r="O183" s="111">
        <f t="shared" si="145"/>
        <v>0</v>
      </c>
      <c r="P183" s="111">
        <f t="shared" si="145"/>
        <v>0</v>
      </c>
      <c r="Q183" s="111">
        <f t="shared" si="145"/>
        <v>0</v>
      </c>
      <c r="R183" s="111">
        <f t="shared" si="145"/>
        <v>0</v>
      </c>
      <c r="S183" s="111">
        <f t="shared" si="145"/>
        <v>0</v>
      </c>
      <c r="T183" s="111">
        <f t="shared" si="145"/>
        <v>0</v>
      </c>
      <c r="U183" s="111">
        <f t="shared" si="145"/>
        <v>0</v>
      </c>
      <c r="V183" s="111">
        <f t="shared" si="145"/>
        <v>0</v>
      </c>
      <c r="W183" s="111">
        <f t="shared" si="145"/>
        <v>0</v>
      </c>
      <c r="X183" s="111">
        <f t="shared" si="145"/>
        <v>298.908111931409</v>
      </c>
      <c r="Y183" s="111">
        <f t="shared" si="145"/>
        <v>0</v>
      </c>
      <c r="Z183" s="111">
        <f t="shared" si="145"/>
        <v>128.28538347872214</v>
      </c>
      <c r="AA183" s="111">
        <f t="shared" si="145"/>
        <v>0</v>
      </c>
      <c r="AB183" s="111">
        <f t="shared" si="145"/>
        <v>627.70703505595907</v>
      </c>
      <c r="AC183" s="111">
        <f t="shared" si="145"/>
        <v>0</v>
      </c>
      <c r="AD183" s="111">
        <f t="shared" si="145"/>
        <v>0</v>
      </c>
      <c r="AE183" s="111">
        <f t="shared" si="145"/>
        <v>0</v>
      </c>
      <c r="AF183" s="111">
        <f t="shared" si="145"/>
        <v>2502.542407361097</v>
      </c>
      <c r="AG183" s="111">
        <f t="shared" si="145"/>
        <v>2745.5726368480487</v>
      </c>
      <c r="AH183" s="111">
        <f t="shared" si="145"/>
        <v>0</v>
      </c>
      <c r="AI183" s="111">
        <f t="shared" si="145"/>
        <v>184.33065446586133</v>
      </c>
      <c r="AJ183" s="111">
        <f t="shared" si="145"/>
        <v>0</v>
      </c>
      <c r="AK183" s="111">
        <f t="shared" si="145"/>
        <v>2577.4428020488695</v>
      </c>
      <c r="AL183" s="111">
        <f t="shared" si="145"/>
        <v>8313.0590423314261</v>
      </c>
      <c r="AM183" s="111">
        <f t="shared" si="145"/>
        <v>0</v>
      </c>
      <c r="AN183" s="111">
        <f t="shared" si="145"/>
        <v>0</v>
      </c>
      <c r="AO183" s="111">
        <f t="shared" si="145"/>
        <v>0</v>
      </c>
      <c r="AP183" s="111">
        <f t="shared" si="145"/>
        <v>0</v>
      </c>
      <c r="AQ183" s="111">
        <f t="shared" si="145"/>
        <v>0</v>
      </c>
      <c r="AR183" s="111">
        <f t="shared" si="145"/>
        <v>0</v>
      </c>
      <c r="AS183" s="111">
        <f t="shared" si="145"/>
        <v>0</v>
      </c>
      <c r="AT183" s="111">
        <f t="shared" si="145"/>
        <v>0</v>
      </c>
      <c r="AU183" s="111">
        <f t="shared" si="145"/>
        <v>0</v>
      </c>
      <c r="AV183" s="111">
        <f t="shared" si="145"/>
        <v>0</v>
      </c>
      <c r="AW183" s="111">
        <f t="shared" si="145"/>
        <v>0</v>
      </c>
      <c r="AX183" s="111">
        <f t="shared" si="145"/>
        <v>0</v>
      </c>
      <c r="AY183" s="111">
        <f t="shared" si="145"/>
        <v>0</v>
      </c>
      <c r="AZ183" s="111">
        <f t="shared" si="145"/>
        <v>0</v>
      </c>
      <c r="BA183" s="111">
        <f t="shared" si="145"/>
        <v>0</v>
      </c>
      <c r="BB183" s="111">
        <f t="shared" si="145"/>
        <v>0</v>
      </c>
      <c r="BC183" s="111">
        <f t="shared" si="145"/>
        <v>0</v>
      </c>
      <c r="BD183" s="111">
        <f t="shared" si="145"/>
        <v>0</v>
      </c>
      <c r="BE183" s="111">
        <f t="shared" si="145"/>
        <v>185.32302939747359</v>
      </c>
      <c r="BF183" s="111">
        <f t="shared" si="145"/>
        <v>0</v>
      </c>
      <c r="BG183" s="111">
        <f t="shared" si="145"/>
        <v>0</v>
      </c>
      <c r="BH183" s="111">
        <f t="shared" si="145"/>
        <v>0</v>
      </c>
      <c r="BI183" s="111">
        <f t="shared" si="145"/>
        <v>0</v>
      </c>
      <c r="BJ183" s="111">
        <f t="shared" si="145"/>
        <v>0</v>
      </c>
      <c r="BK183" s="111">
        <f t="shared" si="145"/>
        <v>0</v>
      </c>
      <c r="BL183" s="111">
        <f t="shared" si="145"/>
        <v>0</v>
      </c>
      <c r="BM183" s="111">
        <f t="shared" si="145"/>
        <v>0</v>
      </c>
      <c r="BN183" s="111">
        <f t="shared" si="145"/>
        <v>0</v>
      </c>
      <c r="BO183" s="111">
        <f t="shared" ref="BO183:BY183" si="146">(BO181-BO182)*1.03</f>
        <v>0</v>
      </c>
      <c r="BP183" s="111">
        <f t="shared" si="146"/>
        <v>0</v>
      </c>
      <c r="BQ183" s="111">
        <f t="shared" si="146"/>
        <v>0</v>
      </c>
      <c r="BR183" s="111">
        <f t="shared" si="146"/>
        <v>0</v>
      </c>
      <c r="BS183" s="111">
        <f t="shared" si="146"/>
        <v>0</v>
      </c>
      <c r="BT183" s="111">
        <f t="shared" si="146"/>
        <v>0</v>
      </c>
      <c r="BU183" s="111">
        <f t="shared" si="146"/>
        <v>0</v>
      </c>
      <c r="BV183" s="111">
        <f t="shared" si="146"/>
        <v>0</v>
      </c>
      <c r="BW183" s="111">
        <f t="shared" si="146"/>
        <v>0</v>
      </c>
      <c r="BX183" s="111">
        <f t="shared" si="146"/>
        <v>0</v>
      </c>
      <c r="BY183" s="111">
        <f t="shared" si="146"/>
        <v>0</v>
      </c>
      <c r="BZ183" s="111">
        <f>SUM(B183:BY183)</f>
        <v>46019.874978473017</v>
      </c>
      <c r="CB183" s="83"/>
    </row>
    <row r="184" spans="1:81"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83"/>
      <c r="AH184" s="83"/>
      <c r="AI184" s="83"/>
      <c r="AJ184" s="83"/>
      <c r="AK184" s="83"/>
      <c r="AL184" s="83"/>
      <c r="AM184" s="83"/>
      <c r="AN184" s="83"/>
      <c r="AO184" s="83"/>
      <c r="AP184" s="83"/>
      <c r="AQ184" s="83"/>
      <c r="AR184" s="83"/>
      <c r="AS184" s="83"/>
      <c r="AT184" s="83"/>
      <c r="AU184" s="83"/>
      <c r="AV184" s="83"/>
      <c r="AW184" s="83"/>
      <c r="AX184" s="83"/>
      <c r="AY184" s="83"/>
      <c r="AZ184" s="83"/>
      <c r="BA184" s="83"/>
      <c r="BB184" s="83"/>
      <c r="BC184" s="83"/>
      <c r="BD184" s="83"/>
      <c r="BE184" s="83"/>
      <c r="BF184" s="83"/>
      <c r="BG184" s="83"/>
      <c r="BH184" s="83"/>
      <c r="BI184" s="83"/>
      <c r="BJ184" s="83"/>
      <c r="BK184" s="83"/>
      <c r="BL184" s="83"/>
      <c r="BM184" s="83"/>
      <c r="BN184" s="83"/>
      <c r="BO184" s="83"/>
      <c r="BP184" s="83"/>
      <c r="BQ184" s="83"/>
      <c r="BR184" s="83"/>
      <c r="BS184" s="83"/>
      <c r="BT184" s="83"/>
      <c r="BU184" s="83"/>
      <c r="BV184" s="83"/>
      <c r="BW184" s="83"/>
      <c r="BX184" s="83"/>
      <c r="BY184" s="83"/>
      <c r="BZ184" s="83"/>
    </row>
    <row r="185" spans="1:81">
      <c r="A185" s="83">
        <f>SUM(B183:AH183,AP183:AQ183,AS183,AV183:AW183,AY183:BA183,BF183:BV183)</f>
        <v>34759.719450229386</v>
      </c>
      <c r="B185" s="77">
        <f>B183/$A$185</f>
        <v>0</v>
      </c>
      <c r="C185" s="77">
        <f t="shared" ref="C185:AH185" si="147">C183/$A$185</f>
        <v>0.29593586597801447</v>
      </c>
      <c r="D185" s="77">
        <f t="shared" si="147"/>
        <v>0.15172374888832971</v>
      </c>
      <c r="E185" s="77">
        <f t="shared" si="147"/>
        <v>1.0605992072507646E-2</v>
      </c>
      <c r="F185" s="77">
        <f t="shared" si="147"/>
        <v>2.6746644436987925E-2</v>
      </c>
      <c r="G185" s="77">
        <f t="shared" si="147"/>
        <v>0</v>
      </c>
      <c r="H185" s="77">
        <f t="shared" si="147"/>
        <v>6.5468972210436446E-2</v>
      </c>
      <c r="I185" s="77">
        <f t="shared" si="147"/>
        <v>6.5803999656717252E-2</v>
      </c>
      <c r="J185" s="77">
        <f t="shared" si="147"/>
        <v>9.2127044196277236E-2</v>
      </c>
      <c r="K185" s="77">
        <f t="shared" si="147"/>
        <v>3.0715894145773744E-2</v>
      </c>
      <c r="L185" s="77">
        <f t="shared" si="147"/>
        <v>1.1930967147531953E-2</v>
      </c>
      <c r="M185" s="77">
        <f t="shared" si="147"/>
        <v>2.2754692663053716E-2</v>
      </c>
      <c r="N185" s="77">
        <f t="shared" si="147"/>
        <v>4.4855153085012867E-2</v>
      </c>
      <c r="O185" s="77">
        <f t="shared" si="147"/>
        <v>0</v>
      </c>
      <c r="P185" s="77">
        <f t="shared" si="147"/>
        <v>0</v>
      </c>
      <c r="Q185" s="77">
        <f t="shared" si="147"/>
        <v>0</v>
      </c>
      <c r="R185" s="77">
        <f t="shared" si="147"/>
        <v>0</v>
      </c>
      <c r="S185" s="77">
        <f t="shared" si="147"/>
        <v>0</v>
      </c>
      <c r="T185" s="77">
        <f t="shared" si="147"/>
        <v>0</v>
      </c>
      <c r="U185" s="77">
        <f t="shared" si="147"/>
        <v>0</v>
      </c>
      <c r="V185" s="77">
        <f t="shared" si="147"/>
        <v>0</v>
      </c>
      <c r="W185" s="77">
        <f t="shared" si="147"/>
        <v>0</v>
      </c>
      <c r="X185" s="77">
        <f t="shared" si="147"/>
        <v>8.5992671016634579E-3</v>
      </c>
      <c r="Y185" s="77">
        <f t="shared" si="147"/>
        <v>0</v>
      </c>
      <c r="Z185" s="77">
        <f t="shared" si="147"/>
        <v>3.6906334546919239E-3</v>
      </c>
      <c r="AA185" s="77">
        <f t="shared" si="147"/>
        <v>0</v>
      </c>
      <c r="AB185" s="77">
        <f t="shared" si="147"/>
        <v>1.8058460913493269E-2</v>
      </c>
      <c r="AC185" s="77">
        <f t="shared" si="147"/>
        <v>0</v>
      </c>
      <c r="AD185" s="77">
        <f t="shared" si="147"/>
        <v>0</v>
      </c>
      <c r="AE185" s="77">
        <f t="shared" si="147"/>
        <v>0</v>
      </c>
      <c r="AF185" s="77">
        <f t="shared" si="147"/>
        <v>7.1995471969914945E-2</v>
      </c>
      <c r="AG185" s="77">
        <f t="shared" si="147"/>
        <v>7.8987192079593441E-2</v>
      </c>
      <c r="AH185" s="77">
        <f t="shared" si="147"/>
        <v>0</v>
      </c>
      <c r="AI185" s="83"/>
      <c r="AJ185" s="83"/>
      <c r="AK185" s="83"/>
      <c r="AL185" s="83"/>
      <c r="AM185" s="83"/>
      <c r="AN185" s="83"/>
      <c r="AO185" s="83"/>
      <c r="AP185" s="77">
        <f t="shared" ref="AP185:AQ185" si="148">AP183/$A$185</f>
        <v>0</v>
      </c>
      <c r="AQ185" s="77">
        <f t="shared" si="148"/>
        <v>0</v>
      </c>
      <c r="AR185" s="77"/>
      <c r="AS185" s="77">
        <f t="shared" ref="AS185" si="149">AS183/$A$185</f>
        <v>0</v>
      </c>
      <c r="AT185" s="77"/>
      <c r="AU185" s="77"/>
      <c r="AV185" s="77">
        <f t="shared" ref="AV185:AW185" si="150">AV183/$A$185</f>
        <v>0</v>
      </c>
      <c r="AW185" s="77">
        <f t="shared" si="150"/>
        <v>0</v>
      </c>
      <c r="AX185" s="77"/>
      <c r="AY185" s="77">
        <f t="shared" ref="AY185:BA185" si="151">AY183/$A$185</f>
        <v>0</v>
      </c>
      <c r="AZ185" s="77">
        <f t="shared" si="151"/>
        <v>0</v>
      </c>
      <c r="BA185" s="77">
        <f t="shared" si="151"/>
        <v>0</v>
      </c>
      <c r="BB185" s="77"/>
      <c r="BC185" s="77"/>
      <c r="BD185" s="77"/>
      <c r="BE185" s="77"/>
      <c r="BF185" s="77">
        <f t="shared" ref="BF185:BV185" si="152">BF183/$A$185</f>
        <v>0</v>
      </c>
      <c r="BG185" s="77">
        <f t="shared" si="152"/>
        <v>0</v>
      </c>
      <c r="BH185" s="77">
        <f t="shared" si="152"/>
        <v>0</v>
      </c>
      <c r="BI185" s="77">
        <f t="shared" si="152"/>
        <v>0</v>
      </c>
      <c r="BJ185" s="77">
        <f t="shared" si="152"/>
        <v>0</v>
      </c>
      <c r="BK185" s="77">
        <f t="shared" si="152"/>
        <v>0</v>
      </c>
      <c r="BL185" s="77">
        <f t="shared" si="152"/>
        <v>0</v>
      </c>
      <c r="BM185" s="77">
        <f t="shared" si="152"/>
        <v>0</v>
      </c>
      <c r="BN185" s="77">
        <f t="shared" si="152"/>
        <v>0</v>
      </c>
      <c r="BO185" s="77">
        <f t="shared" si="152"/>
        <v>0</v>
      </c>
      <c r="BP185" s="77">
        <f t="shared" si="152"/>
        <v>0</v>
      </c>
      <c r="BQ185" s="77">
        <f t="shared" si="152"/>
        <v>0</v>
      </c>
      <c r="BR185" s="77">
        <f t="shared" si="152"/>
        <v>0</v>
      </c>
      <c r="BS185" s="77">
        <f t="shared" si="152"/>
        <v>0</v>
      </c>
      <c r="BT185" s="77">
        <f t="shared" si="152"/>
        <v>0</v>
      </c>
      <c r="BU185" s="77">
        <f t="shared" si="152"/>
        <v>0</v>
      </c>
      <c r="BV185" s="77">
        <f t="shared" si="152"/>
        <v>0</v>
      </c>
      <c r="BW185" s="83"/>
      <c r="BX185" s="83"/>
      <c r="BY185" s="83"/>
      <c r="BZ185" s="77">
        <f>SUM(B185:BY185)</f>
        <v>1</v>
      </c>
    </row>
    <row r="186" spans="1:81">
      <c r="A186" s="83">
        <f>BZ183-A185</f>
        <v>11260.155528243631</v>
      </c>
      <c r="B186" s="97">
        <f>$A$186*B185</f>
        <v>0</v>
      </c>
      <c r="C186" s="97">
        <f t="shared" ref="C186:AH186" si="153">$A$186*C185</f>
        <v>3332.2838772979057</v>
      </c>
      <c r="D186" s="97">
        <f t="shared" si="153"/>
        <v>1708.4330098107741</v>
      </c>
      <c r="E186" s="97">
        <f t="shared" si="153"/>
        <v>119.42512026775509</v>
      </c>
      <c r="F186" s="97">
        <f t="shared" si="153"/>
        <v>301.17137621911633</v>
      </c>
      <c r="G186" s="97">
        <f t="shared" si="153"/>
        <v>0</v>
      </c>
      <c r="H186" s="97">
        <f t="shared" si="153"/>
        <v>737.19080936377463</v>
      </c>
      <c r="I186" s="97">
        <f t="shared" si="153"/>
        <v>740.96327051512674</v>
      </c>
      <c r="J186" s="97">
        <f t="shared" si="153"/>
        <v>1037.3648460074564</v>
      </c>
      <c r="K186" s="97">
        <f t="shared" si="153"/>
        <v>345.86574527048043</v>
      </c>
      <c r="L186" s="97">
        <f t="shared" si="153"/>
        <v>134.34454568357506</v>
      </c>
      <c r="M186" s="97">
        <f t="shared" si="153"/>
        <v>256.22137838336909</v>
      </c>
      <c r="N186" s="97">
        <f t="shared" si="153"/>
        <v>505.07599998042201</v>
      </c>
      <c r="O186" s="97">
        <f t="shared" si="153"/>
        <v>0</v>
      </c>
      <c r="P186" s="97">
        <f t="shared" si="153"/>
        <v>0</v>
      </c>
      <c r="Q186" s="97">
        <f t="shared" si="153"/>
        <v>0</v>
      </c>
      <c r="R186" s="97">
        <f t="shared" si="153"/>
        <v>0</v>
      </c>
      <c r="S186" s="97">
        <f t="shared" si="153"/>
        <v>0</v>
      </c>
      <c r="T186" s="97">
        <f t="shared" si="153"/>
        <v>0</v>
      </c>
      <c r="U186" s="97">
        <f t="shared" si="153"/>
        <v>0</v>
      </c>
      <c r="V186" s="97">
        <f t="shared" si="153"/>
        <v>0</v>
      </c>
      <c r="W186" s="97">
        <f t="shared" si="153"/>
        <v>0</v>
      </c>
      <c r="X186" s="97">
        <f t="shared" si="153"/>
        <v>96.82908499363937</v>
      </c>
      <c r="Y186" s="97">
        <f t="shared" si="153"/>
        <v>0</v>
      </c>
      <c r="Z186" s="97">
        <f t="shared" si="153"/>
        <v>41.557106697570156</v>
      </c>
      <c r="AA186" s="97">
        <f t="shared" si="153"/>
        <v>0</v>
      </c>
      <c r="AB186" s="97">
        <f t="shared" si="153"/>
        <v>203.34107848664277</v>
      </c>
      <c r="AC186" s="97">
        <f t="shared" si="153"/>
        <v>0</v>
      </c>
      <c r="AD186" s="97">
        <f t="shared" si="153"/>
        <v>0</v>
      </c>
      <c r="AE186" s="97">
        <f t="shared" si="153"/>
        <v>0</v>
      </c>
      <c r="AF186" s="97">
        <f t="shared" si="153"/>
        <v>810.68021171054716</v>
      </c>
      <c r="AG186" s="97">
        <f t="shared" si="153"/>
        <v>889.40806755547567</v>
      </c>
      <c r="AH186" s="97">
        <f t="shared" si="153"/>
        <v>0</v>
      </c>
      <c r="AI186" s="83"/>
      <c r="AJ186" s="83"/>
      <c r="AK186" s="83"/>
      <c r="AL186" s="83"/>
      <c r="AM186" s="83"/>
      <c r="AN186" s="83"/>
      <c r="AO186" s="83"/>
      <c r="AP186" s="97">
        <f t="shared" ref="AP186" si="154">$A$186*AP185</f>
        <v>0</v>
      </c>
      <c r="AQ186" s="97">
        <f t="shared" ref="AQ186:AS186" si="155">$A$186*AQ185</f>
        <v>0</v>
      </c>
      <c r="AR186" s="77"/>
      <c r="AS186" s="97">
        <f t="shared" si="155"/>
        <v>0</v>
      </c>
      <c r="AT186" s="77"/>
      <c r="AU186" s="77"/>
      <c r="AV186" s="97">
        <f t="shared" ref="AV186" si="156">$A$186*AV185</f>
        <v>0</v>
      </c>
      <c r="AW186" s="97">
        <f t="shared" ref="AW186" si="157">$A$186*AW185</f>
        <v>0</v>
      </c>
      <c r="AX186" s="77"/>
      <c r="AY186" s="97">
        <f t="shared" ref="AY186" si="158">$A$186*AY185</f>
        <v>0</v>
      </c>
      <c r="AZ186" s="97">
        <f t="shared" ref="AZ186" si="159">$A$186*AZ185</f>
        <v>0</v>
      </c>
      <c r="BA186" s="97">
        <f t="shared" ref="BA186" si="160">$A$186*BA185</f>
        <v>0</v>
      </c>
      <c r="BB186" s="77"/>
      <c r="BC186" s="77"/>
      <c r="BD186" s="77"/>
      <c r="BE186" s="77"/>
      <c r="BF186" s="97">
        <f t="shared" ref="BF186" si="161">$A$186*BF185</f>
        <v>0</v>
      </c>
      <c r="BG186" s="97">
        <f t="shared" ref="BG186" si="162">$A$186*BG185</f>
        <v>0</v>
      </c>
      <c r="BH186" s="97">
        <f t="shared" ref="BH186" si="163">$A$186*BH185</f>
        <v>0</v>
      </c>
      <c r="BI186" s="97">
        <f t="shared" ref="BI186" si="164">$A$186*BI185</f>
        <v>0</v>
      </c>
      <c r="BJ186" s="97">
        <f t="shared" ref="BJ186" si="165">$A$186*BJ185</f>
        <v>0</v>
      </c>
      <c r="BK186" s="97">
        <f t="shared" ref="BK186" si="166">$A$186*BK185</f>
        <v>0</v>
      </c>
      <c r="BL186" s="97">
        <f t="shared" ref="BL186" si="167">$A$186*BL185</f>
        <v>0</v>
      </c>
      <c r="BM186" s="97">
        <f t="shared" ref="BM186" si="168">$A$186*BM185</f>
        <v>0</v>
      </c>
      <c r="BN186" s="97">
        <f t="shared" ref="BN186" si="169">$A$186*BN185</f>
        <v>0</v>
      </c>
      <c r="BO186" s="97">
        <f t="shared" ref="BO186" si="170">$A$186*BO185</f>
        <v>0</v>
      </c>
      <c r="BP186" s="97">
        <f t="shared" ref="BP186" si="171">$A$186*BP185</f>
        <v>0</v>
      </c>
      <c r="BQ186" s="97">
        <f t="shared" ref="BQ186" si="172">$A$186*BQ185</f>
        <v>0</v>
      </c>
      <c r="BR186" s="97">
        <f t="shared" ref="BR186" si="173">$A$186*BR185</f>
        <v>0</v>
      </c>
      <c r="BS186" s="97">
        <f t="shared" ref="BS186" si="174">$A$186*BS185</f>
        <v>0</v>
      </c>
      <c r="BT186" s="97">
        <f t="shared" ref="BT186" si="175">$A$186*BT185</f>
        <v>0</v>
      </c>
      <c r="BU186" s="97">
        <f t="shared" ref="BU186" si="176">$A$186*BU185</f>
        <v>0</v>
      </c>
      <c r="BV186" s="97">
        <f t="shared" ref="BV186" si="177">$A$186*BV185</f>
        <v>0</v>
      </c>
      <c r="BW186" s="83"/>
      <c r="BX186" s="83"/>
      <c r="BY186" s="83"/>
      <c r="BZ186" s="97">
        <f>SUM(B186:BY186)</f>
        <v>11260.155528243631</v>
      </c>
    </row>
    <row r="187" spans="1:81">
      <c r="A187" s="83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83"/>
      <c r="AJ187" s="83"/>
      <c r="AK187" s="83"/>
      <c r="AL187" s="83"/>
      <c r="AM187" s="83"/>
      <c r="AN187" s="83"/>
      <c r="AO187" s="83"/>
      <c r="AP187" s="83"/>
      <c r="AQ187" s="83"/>
      <c r="AR187" s="83"/>
      <c r="AS187" s="83"/>
      <c r="AT187" s="83"/>
      <c r="AU187" s="83"/>
      <c r="AV187" s="83"/>
      <c r="AW187" s="83"/>
      <c r="AX187" s="83"/>
      <c r="AY187" s="83"/>
      <c r="AZ187" s="83"/>
      <c r="BA187" s="83"/>
      <c r="BB187" s="83"/>
      <c r="BC187" s="83"/>
      <c r="BD187" s="83"/>
      <c r="BE187" s="83"/>
      <c r="BF187" s="83"/>
      <c r="BG187" s="83"/>
      <c r="BH187" s="83"/>
      <c r="BI187" s="83"/>
      <c r="BJ187" s="83"/>
      <c r="BK187" s="83"/>
      <c r="BL187" s="83"/>
      <c r="BM187" s="83"/>
      <c r="BN187" s="83"/>
      <c r="BO187" s="83"/>
      <c r="BP187" s="83"/>
      <c r="BQ187" s="83"/>
      <c r="BR187" s="83"/>
      <c r="BS187" s="83"/>
      <c r="BT187" s="83"/>
      <c r="BU187" s="83"/>
      <c r="BV187" s="83"/>
      <c r="BW187" s="83"/>
      <c r="BX187" s="83"/>
      <c r="BY187" s="83"/>
      <c r="BZ187" s="83"/>
    </row>
    <row r="188" spans="1:81">
      <c r="A188" s="95" t="s">
        <v>243</v>
      </c>
      <c r="BZ188" s="83"/>
    </row>
    <row r="189" spans="1:81">
      <c r="A189" s="95" t="s">
        <v>241</v>
      </c>
      <c r="B189" s="113">
        <f>B183+B186</f>
        <v>0</v>
      </c>
      <c r="C189" s="113">
        <f t="shared" ref="C189:AH189" si="178">C183+C186</f>
        <v>13618.931553954371</v>
      </c>
      <c r="D189" s="113">
        <f t="shared" si="178"/>
        <v>6982.3079551061674</v>
      </c>
      <c r="E189" s="113">
        <f t="shared" si="178"/>
        <v>488.08642919947772</v>
      </c>
      <c r="F189" s="113">
        <f t="shared" si="178"/>
        <v>1230.8772330838551</v>
      </c>
      <c r="G189" s="113">
        <f t="shared" si="178"/>
        <v>0</v>
      </c>
      <c r="H189" s="113">
        <f t="shared" si="178"/>
        <v>3012.8739160934092</v>
      </c>
      <c r="I189" s="113">
        <f t="shared" si="178"/>
        <v>3028.2918372856093</v>
      </c>
      <c r="J189" s="113">
        <f t="shared" si="178"/>
        <v>4239.6750560489363</v>
      </c>
      <c r="K189" s="113">
        <f t="shared" si="178"/>
        <v>1413.541608440519</v>
      </c>
      <c r="L189" s="113">
        <f t="shared" si="178"/>
        <v>549.06161650168929</v>
      </c>
      <c r="M189" s="113">
        <f t="shared" si="178"/>
        <v>1047.1681115273093</v>
      </c>
      <c r="N189" s="113">
        <f t="shared" si="178"/>
        <v>2064.2285371125604</v>
      </c>
      <c r="O189" s="113">
        <f t="shared" si="178"/>
        <v>0</v>
      </c>
      <c r="P189" s="113">
        <f t="shared" si="178"/>
        <v>0</v>
      </c>
      <c r="Q189" s="113">
        <f t="shared" si="178"/>
        <v>0</v>
      </c>
      <c r="R189" s="113">
        <f t="shared" si="178"/>
        <v>0</v>
      </c>
      <c r="S189" s="113">
        <f t="shared" si="178"/>
        <v>0</v>
      </c>
      <c r="T189" s="113">
        <f t="shared" si="178"/>
        <v>0</v>
      </c>
      <c r="U189" s="113">
        <f t="shared" si="178"/>
        <v>0</v>
      </c>
      <c r="V189" s="113">
        <f t="shared" si="178"/>
        <v>0</v>
      </c>
      <c r="W189" s="113">
        <f t="shared" si="178"/>
        <v>0</v>
      </c>
      <c r="X189" s="113">
        <f t="shared" si="178"/>
        <v>395.73719692504835</v>
      </c>
      <c r="Y189" s="113">
        <f t="shared" si="178"/>
        <v>0</v>
      </c>
      <c r="Z189" s="113">
        <f t="shared" si="178"/>
        <v>169.8424901762923</v>
      </c>
      <c r="AA189" s="113">
        <f t="shared" si="178"/>
        <v>0</v>
      </c>
      <c r="AB189" s="113">
        <f t="shared" si="178"/>
        <v>831.04811354260187</v>
      </c>
      <c r="AC189" s="113">
        <f t="shared" si="178"/>
        <v>0</v>
      </c>
      <c r="AD189" s="113">
        <f t="shared" si="178"/>
        <v>0</v>
      </c>
      <c r="AE189" s="113">
        <f t="shared" si="178"/>
        <v>0</v>
      </c>
      <c r="AF189" s="113">
        <f t="shared" si="178"/>
        <v>3313.2226190716442</v>
      </c>
      <c r="AG189" s="113">
        <f t="shared" si="178"/>
        <v>3634.9807044035242</v>
      </c>
      <c r="AH189" s="113">
        <f t="shared" si="178"/>
        <v>0</v>
      </c>
      <c r="AI189" s="95">
        <v>0</v>
      </c>
      <c r="AJ189" s="95">
        <v>0</v>
      </c>
      <c r="AK189" s="95">
        <v>0</v>
      </c>
      <c r="AL189" s="95">
        <v>0</v>
      </c>
      <c r="AM189" s="95">
        <v>0</v>
      </c>
      <c r="AN189" s="95">
        <v>0</v>
      </c>
      <c r="AO189" s="95">
        <v>0</v>
      </c>
      <c r="AP189" s="95">
        <f t="shared" ref="AP189:AQ189" si="179">AP183+AP186</f>
        <v>0</v>
      </c>
      <c r="AQ189" s="95">
        <f t="shared" si="179"/>
        <v>0</v>
      </c>
      <c r="AR189" s="95">
        <v>0</v>
      </c>
      <c r="AS189" s="95">
        <f t="shared" ref="AS189" si="180">AS183+AS186</f>
        <v>0</v>
      </c>
      <c r="AT189" s="95">
        <v>0</v>
      </c>
      <c r="AU189" s="95">
        <v>0</v>
      </c>
      <c r="AV189" s="95">
        <f t="shared" ref="AV189:AW189" si="181">AV183+AV186</f>
        <v>0</v>
      </c>
      <c r="AW189" s="95">
        <f t="shared" si="181"/>
        <v>0</v>
      </c>
      <c r="AX189" s="95">
        <v>0</v>
      </c>
      <c r="AY189" s="95">
        <f t="shared" ref="AY189:BA189" si="182">AY183+AY186</f>
        <v>0</v>
      </c>
      <c r="AZ189" s="95">
        <f t="shared" si="182"/>
        <v>0</v>
      </c>
      <c r="BA189" s="95">
        <f t="shared" si="182"/>
        <v>0</v>
      </c>
      <c r="BB189" s="95">
        <v>0</v>
      </c>
      <c r="BC189" s="95">
        <v>0</v>
      </c>
      <c r="BD189" s="95">
        <v>0</v>
      </c>
      <c r="BE189" s="95">
        <v>0</v>
      </c>
      <c r="BF189" s="95">
        <f t="shared" ref="BF189:BV189" si="183">BF183+BF186</f>
        <v>0</v>
      </c>
      <c r="BG189" s="95">
        <f t="shared" si="183"/>
        <v>0</v>
      </c>
      <c r="BH189" s="95">
        <f t="shared" si="183"/>
        <v>0</v>
      </c>
      <c r="BI189" s="95">
        <f t="shared" si="183"/>
        <v>0</v>
      </c>
      <c r="BJ189" s="95">
        <f t="shared" si="183"/>
        <v>0</v>
      </c>
      <c r="BK189" s="95">
        <f t="shared" si="183"/>
        <v>0</v>
      </c>
      <c r="BL189" s="95">
        <f t="shared" si="183"/>
        <v>0</v>
      </c>
      <c r="BM189" s="95">
        <f t="shared" si="183"/>
        <v>0</v>
      </c>
      <c r="BN189" s="95">
        <f t="shared" si="183"/>
        <v>0</v>
      </c>
      <c r="BO189" s="95">
        <f t="shared" si="183"/>
        <v>0</v>
      </c>
      <c r="BP189" s="95">
        <f t="shared" si="183"/>
        <v>0</v>
      </c>
      <c r="BQ189" s="95">
        <f t="shared" si="183"/>
        <v>0</v>
      </c>
      <c r="BR189" s="95">
        <f t="shared" si="183"/>
        <v>0</v>
      </c>
      <c r="BS189" s="95">
        <f t="shared" si="183"/>
        <v>0</v>
      </c>
      <c r="BT189" s="95">
        <f t="shared" si="183"/>
        <v>0</v>
      </c>
      <c r="BU189" s="95">
        <f t="shared" si="183"/>
        <v>0</v>
      </c>
      <c r="BV189" s="95">
        <f t="shared" si="183"/>
        <v>0</v>
      </c>
      <c r="BW189" s="95">
        <v>0</v>
      </c>
      <c r="BX189" s="95">
        <v>0</v>
      </c>
      <c r="BY189" s="95">
        <v>0</v>
      </c>
      <c r="BZ189" s="112">
        <f>SUM(B189:BY189)</f>
        <v>46019.874978473024</v>
      </c>
    </row>
    <row r="190" spans="1:81"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83"/>
      <c r="AH190" s="83"/>
      <c r="BZ190" s="83"/>
    </row>
    <row r="192" spans="1:81">
      <c r="BZ192" s="111"/>
    </row>
    <row r="194" spans="78:84">
      <c r="BZ194" s="85"/>
    </row>
    <row r="196" spans="78:84">
      <c r="BZ196" s="114"/>
      <c r="CA196" s="109"/>
    </row>
    <row r="199" spans="78:84">
      <c r="BZ199" s="83"/>
    </row>
    <row r="200" spans="78:84">
      <c r="BZ200" s="115">
        <f>BZ174+BZ189</f>
        <v>73607.554708110882</v>
      </c>
      <c r="CA200" s="84" t="s">
        <v>244</v>
      </c>
      <c r="CB200" s="84"/>
      <c r="CC200" s="84"/>
      <c r="CD200" s="84"/>
      <c r="CE200" s="84"/>
      <c r="CF200" s="84"/>
    </row>
    <row r="201" spans="78:84">
      <c r="BZ201" s="83"/>
    </row>
    <row r="203" spans="78:84">
      <c r="BZ203" s="115">
        <f>(BZ189*2)+(BZ171*2)</f>
        <v>147215.10941622176</v>
      </c>
    </row>
    <row r="205" spans="78:84">
      <c r="BZ205" s="85">
        <f>'2026 Agency Budget'!BM94</f>
        <v>562492.16159964027</v>
      </c>
      <c r="CA205" t="s">
        <v>245</v>
      </c>
    </row>
    <row r="207" spans="78:84">
      <c r="BZ207" s="116">
        <f>BZ194-BZ192</f>
        <v>0</v>
      </c>
      <c r="CA207" s="117" t="s">
        <v>246</v>
      </c>
    </row>
  </sheetData>
  <mergeCells count="6">
    <mergeCell ref="A6:BZ6"/>
    <mergeCell ref="A1:BZ1"/>
    <mergeCell ref="A2:BZ2"/>
    <mergeCell ref="A3:BZ3"/>
    <mergeCell ref="A4:BZ4"/>
    <mergeCell ref="A5:BZ5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36E1A-74A0-4CA5-958C-7FF0F1D8B331}">
  <dimension ref="A1:R178"/>
  <sheetViews>
    <sheetView topLeftCell="B1" zoomScale="130" zoomScaleNormal="130" workbookViewId="0">
      <selection activeCell="D96" sqref="D96"/>
    </sheetView>
  </sheetViews>
  <sheetFormatPr defaultRowHeight="11.25"/>
  <cols>
    <col min="1" max="1" width="24.1640625" customWidth="1"/>
    <col min="2" max="2" width="11.5" style="97" bestFit="1" customWidth="1"/>
    <col min="4" max="4" width="20.5" customWidth="1"/>
    <col min="5" max="5" width="23.5" customWidth="1"/>
    <col min="6" max="6" width="10.6640625" bestFit="1" customWidth="1"/>
    <col min="7" max="7" width="7.83203125" customWidth="1"/>
    <col min="8" max="10" width="11.33203125" customWidth="1"/>
    <col min="11" max="11" width="7.83203125" customWidth="1"/>
    <col min="12" max="12" width="12.83203125" customWidth="1"/>
    <col min="13" max="13" width="10.5" style="97" bestFit="1" customWidth="1"/>
    <col min="14" max="14" width="10.5" bestFit="1" customWidth="1"/>
  </cols>
  <sheetData>
    <row r="1" spans="1:18">
      <c r="A1" s="109" t="s">
        <v>749</v>
      </c>
      <c r="B1"/>
      <c r="E1" s="109" t="s">
        <v>750</v>
      </c>
      <c r="G1" t="s">
        <v>751</v>
      </c>
      <c r="H1" s="23" t="s">
        <v>752</v>
      </c>
      <c r="I1" s="23" t="s">
        <v>753</v>
      </c>
      <c r="J1" s="23" t="s">
        <v>754</v>
      </c>
      <c r="K1" s="23" t="s">
        <v>755</v>
      </c>
      <c r="L1" s="23" t="s">
        <v>756</v>
      </c>
      <c r="M1" s="109" t="s">
        <v>757</v>
      </c>
      <c r="Q1" t="s">
        <v>758</v>
      </c>
    </row>
    <row r="2" spans="1:18">
      <c r="A2" t="s">
        <v>759</v>
      </c>
      <c r="B2" s="123">
        <v>11992.42</v>
      </c>
      <c r="C2" s="23" t="s">
        <v>760</v>
      </c>
      <c r="D2" s="23"/>
      <c r="E2" t="s">
        <v>761</v>
      </c>
      <c r="F2" s="123">
        <f t="shared" ref="F2:F9" si="0">H2+I2+J2+K2</f>
        <v>2333</v>
      </c>
      <c r="G2">
        <v>3</v>
      </c>
      <c r="H2" s="123">
        <v>575</v>
      </c>
      <c r="I2" s="123">
        <v>450</v>
      </c>
      <c r="J2" s="123">
        <f t="shared" ref="J2:J7" si="1">400*G2</f>
        <v>1200</v>
      </c>
      <c r="K2" s="123">
        <f t="shared" ref="K2:K7" si="2">G2*$R$5</f>
        <v>108</v>
      </c>
      <c r="M2" t="s">
        <v>762</v>
      </c>
      <c r="N2" s="123">
        <v>3000</v>
      </c>
      <c r="O2">
        <v>1028</v>
      </c>
      <c r="Q2" t="s">
        <v>763</v>
      </c>
      <c r="R2" s="97">
        <v>6</v>
      </c>
    </row>
    <row r="3" spans="1:18">
      <c r="A3" t="s">
        <v>764</v>
      </c>
      <c r="B3" s="123">
        <v>2600.3000000000002</v>
      </c>
      <c r="C3" s="23" t="s">
        <v>760</v>
      </c>
      <c r="D3" s="23"/>
      <c r="E3" t="s">
        <v>765</v>
      </c>
      <c r="F3" s="123">
        <f t="shared" si="0"/>
        <v>2944</v>
      </c>
      <c r="G3">
        <v>4</v>
      </c>
      <c r="H3" s="123">
        <v>750</v>
      </c>
      <c r="I3" s="123">
        <v>450</v>
      </c>
      <c r="J3" s="123">
        <f t="shared" si="1"/>
        <v>1600</v>
      </c>
      <c r="K3" s="342">
        <f t="shared" si="2"/>
        <v>144</v>
      </c>
      <c r="M3" t="s">
        <v>766</v>
      </c>
      <c r="N3" s="123">
        <v>2000</v>
      </c>
      <c r="O3">
        <v>1005</v>
      </c>
      <c r="Q3" t="s">
        <v>767</v>
      </c>
      <c r="R3" s="97">
        <v>11</v>
      </c>
    </row>
    <row r="4" spans="1:18">
      <c r="A4" t="s">
        <v>768</v>
      </c>
      <c r="B4" s="123">
        <v>9875.64</v>
      </c>
      <c r="C4" s="23" t="s">
        <v>760</v>
      </c>
      <c r="D4" s="23"/>
      <c r="E4" t="s">
        <v>769</v>
      </c>
      <c r="F4" s="123">
        <f t="shared" si="0"/>
        <v>2944</v>
      </c>
      <c r="G4">
        <v>4</v>
      </c>
      <c r="H4" s="123">
        <v>750</v>
      </c>
      <c r="I4" s="123">
        <v>450</v>
      </c>
      <c r="J4" s="123">
        <f t="shared" si="1"/>
        <v>1600</v>
      </c>
      <c r="K4" s="123">
        <f t="shared" si="2"/>
        <v>144</v>
      </c>
      <c r="M4" s="23" t="s">
        <v>770</v>
      </c>
      <c r="N4" s="123">
        <v>1500</v>
      </c>
      <c r="O4">
        <v>1005</v>
      </c>
      <c r="Q4" t="s">
        <v>771</v>
      </c>
      <c r="R4" s="97">
        <v>19</v>
      </c>
    </row>
    <row r="5" spans="1:18">
      <c r="A5" t="s">
        <v>772</v>
      </c>
      <c r="B5" s="123">
        <v>25338</v>
      </c>
      <c r="C5" s="23" t="s">
        <v>760</v>
      </c>
      <c r="D5" s="23"/>
      <c r="E5" t="s">
        <v>773</v>
      </c>
      <c r="F5" s="123">
        <f t="shared" si="0"/>
        <v>2944</v>
      </c>
      <c r="G5">
        <v>4</v>
      </c>
      <c r="H5" s="123">
        <v>750</v>
      </c>
      <c r="I5" s="123">
        <v>450</v>
      </c>
      <c r="J5" s="123">
        <f t="shared" si="1"/>
        <v>1600</v>
      </c>
      <c r="K5" s="123">
        <f t="shared" si="2"/>
        <v>144</v>
      </c>
      <c r="M5"/>
      <c r="R5" s="97">
        <f>SUM(R2:R4)</f>
        <v>36</v>
      </c>
    </row>
    <row r="6" spans="1:18">
      <c r="B6"/>
      <c r="E6" s="23" t="s">
        <v>774</v>
      </c>
      <c r="F6" s="123">
        <f t="shared" si="0"/>
        <v>2944</v>
      </c>
      <c r="G6">
        <v>4</v>
      </c>
      <c r="H6" s="123">
        <v>750</v>
      </c>
      <c r="I6" s="123">
        <v>450</v>
      </c>
      <c r="J6" s="123">
        <f t="shared" si="1"/>
        <v>1600</v>
      </c>
      <c r="K6" s="123">
        <f t="shared" si="2"/>
        <v>144</v>
      </c>
      <c r="M6"/>
    </row>
    <row r="7" spans="1:18">
      <c r="B7"/>
      <c r="E7" s="23" t="s">
        <v>775</v>
      </c>
      <c r="F7" s="123">
        <f t="shared" si="0"/>
        <v>2944</v>
      </c>
      <c r="G7">
        <v>4</v>
      </c>
      <c r="H7" s="123">
        <v>750</v>
      </c>
      <c r="I7" s="123">
        <v>450</v>
      </c>
      <c r="J7" s="123">
        <f t="shared" si="1"/>
        <v>1600</v>
      </c>
      <c r="K7" s="123">
        <f t="shared" si="2"/>
        <v>144</v>
      </c>
      <c r="M7"/>
    </row>
    <row r="8" spans="1:18">
      <c r="B8"/>
      <c r="E8" s="23" t="s">
        <v>776</v>
      </c>
      <c r="F8" s="123">
        <f t="shared" si="0"/>
        <v>1593.6</v>
      </c>
      <c r="G8">
        <v>2</v>
      </c>
      <c r="H8" s="123">
        <v>0</v>
      </c>
      <c r="I8" s="123">
        <f>(680*0.44)+(680*0.18)+250+250</f>
        <v>921.59999999999991</v>
      </c>
      <c r="J8" s="123">
        <f>300*2</f>
        <v>600</v>
      </c>
      <c r="K8" s="123">
        <f>G8*R5</f>
        <v>72</v>
      </c>
      <c r="M8"/>
    </row>
    <row r="9" spans="1:18">
      <c r="B9"/>
      <c r="E9" s="23" t="s">
        <v>777</v>
      </c>
      <c r="F9" s="123">
        <f t="shared" si="0"/>
        <v>1455.5</v>
      </c>
      <c r="G9">
        <v>2</v>
      </c>
      <c r="H9" s="123">
        <v>0</v>
      </c>
      <c r="I9" s="123">
        <f>(225*0.44)+(225*0.18)+550+550</f>
        <v>1239.5</v>
      </c>
      <c r="J9" s="123"/>
      <c r="K9" s="123">
        <f>108*2</f>
        <v>216</v>
      </c>
      <c r="M9"/>
    </row>
    <row r="10" spans="1:18">
      <c r="A10" t="s">
        <v>778</v>
      </c>
      <c r="B10" s="123">
        <v>2650.79</v>
      </c>
      <c r="C10">
        <v>1005</v>
      </c>
      <c r="E10" s="23" t="s">
        <v>779</v>
      </c>
      <c r="F10" s="123">
        <f>H10*G10+I10</f>
        <v>2240</v>
      </c>
      <c r="G10">
        <v>8</v>
      </c>
      <c r="H10" s="123">
        <v>250</v>
      </c>
      <c r="I10" s="97">
        <f>(15*2)*8</f>
        <v>240</v>
      </c>
      <c r="M10"/>
    </row>
    <row r="11" spans="1:18">
      <c r="B11" s="343">
        <v>52457.14</v>
      </c>
      <c r="F11" s="343">
        <f>SUM(F2:F10)</f>
        <v>22342.1</v>
      </c>
      <c r="G11" s="343"/>
      <c r="M11"/>
      <c r="N11" s="343">
        <v>6500</v>
      </c>
    </row>
    <row r="12" spans="1:18">
      <c r="B12"/>
      <c r="M12"/>
    </row>
    <row r="13" spans="1:18">
      <c r="A13" s="109" t="s">
        <v>780</v>
      </c>
      <c r="B13"/>
      <c r="M13"/>
    </row>
    <row r="14" spans="1:18">
      <c r="A14" s="23" t="s">
        <v>781</v>
      </c>
      <c r="B14" s="123">
        <v>32500</v>
      </c>
      <c r="M14"/>
    </row>
    <row r="15" spans="1:18">
      <c r="A15" s="23" t="s">
        <v>782</v>
      </c>
      <c r="B15" s="123">
        <v>1050</v>
      </c>
      <c r="M15"/>
    </row>
    <row r="16" spans="1:18">
      <c r="A16" s="23" t="s">
        <v>783</v>
      </c>
      <c r="B16" s="123">
        <v>10000</v>
      </c>
      <c r="M16"/>
    </row>
    <row r="17" spans="1:13">
      <c r="B17"/>
      <c r="M17"/>
    </row>
    <row r="18" spans="1:13">
      <c r="B18" s="123">
        <v>43550</v>
      </c>
      <c r="M18"/>
    </row>
    <row r="19" spans="1:13">
      <c r="B19"/>
      <c r="M19"/>
    </row>
    <row r="20" spans="1:13">
      <c r="B20"/>
      <c r="M20"/>
    </row>
    <row r="21" spans="1:13">
      <c r="A21" s="344" t="s">
        <v>6</v>
      </c>
      <c r="B21" s="344" t="s">
        <v>784</v>
      </c>
      <c r="C21" s="344" t="s">
        <v>785</v>
      </c>
      <c r="D21" s="344" t="s">
        <v>786</v>
      </c>
      <c r="E21" s="344" t="s">
        <v>787</v>
      </c>
      <c r="F21" s="344" t="s">
        <v>788</v>
      </c>
      <c r="G21" s="344"/>
      <c r="H21" s="344" t="s">
        <v>789</v>
      </c>
      <c r="I21" s="344" t="s">
        <v>85</v>
      </c>
      <c r="J21" s="344"/>
      <c r="M21"/>
    </row>
    <row r="22" spans="1:13">
      <c r="A22" s="191" t="s">
        <v>86</v>
      </c>
      <c r="B22" s="191"/>
      <c r="C22" s="191"/>
      <c r="D22" s="191"/>
      <c r="E22" s="191"/>
      <c r="F22" s="191"/>
      <c r="G22" s="191"/>
      <c r="H22" s="191"/>
      <c r="I22" s="191"/>
      <c r="J22" s="191"/>
      <c r="M22"/>
    </row>
    <row r="23" spans="1:13">
      <c r="A23" s="194" t="s">
        <v>111</v>
      </c>
      <c r="B23" s="194" t="s">
        <v>84</v>
      </c>
      <c r="C23" s="194" t="s">
        <v>84</v>
      </c>
      <c r="D23" s="194" t="s">
        <v>84</v>
      </c>
      <c r="E23" s="194" t="s">
        <v>84</v>
      </c>
      <c r="F23" s="194" t="s">
        <v>84</v>
      </c>
      <c r="G23" s="194"/>
      <c r="H23" s="194" t="s">
        <v>84</v>
      </c>
      <c r="I23" s="195">
        <v>0</v>
      </c>
      <c r="J23" s="382"/>
      <c r="M23"/>
    </row>
    <row r="24" spans="1:13">
      <c r="A24" s="191" t="s">
        <v>112</v>
      </c>
      <c r="B24" s="191"/>
      <c r="C24" s="191"/>
      <c r="D24" s="191"/>
      <c r="E24" s="191"/>
      <c r="F24" s="191"/>
      <c r="G24" s="191"/>
      <c r="H24" s="191"/>
      <c r="I24" s="191"/>
      <c r="J24" s="191"/>
      <c r="M24"/>
    </row>
    <row r="25" spans="1:13">
      <c r="A25" s="191" t="s">
        <v>197</v>
      </c>
      <c r="B25" s="191"/>
      <c r="C25" s="191"/>
      <c r="D25" s="191"/>
      <c r="E25" s="191"/>
      <c r="F25" s="191"/>
      <c r="G25" s="191"/>
      <c r="H25" s="191"/>
      <c r="I25" s="191"/>
      <c r="J25" s="191"/>
      <c r="M25"/>
    </row>
    <row r="26" spans="1:13">
      <c r="A26" s="191" t="s">
        <v>199</v>
      </c>
      <c r="B26" s="191"/>
      <c r="C26" s="191"/>
      <c r="D26" s="191"/>
      <c r="E26" s="191"/>
      <c r="F26" s="191"/>
      <c r="G26" s="191"/>
      <c r="H26" s="191"/>
      <c r="I26" s="191"/>
      <c r="J26" s="191"/>
      <c r="M26"/>
    </row>
    <row r="27" spans="1:13">
      <c r="A27" s="187"/>
      <c r="B27" s="187" t="s">
        <v>790</v>
      </c>
      <c r="C27" s="345">
        <v>45719</v>
      </c>
      <c r="D27" s="187">
        <v>32025</v>
      </c>
      <c r="E27" s="187" t="s">
        <v>791</v>
      </c>
      <c r="F27" s="187" t="s">
        <v>792</v>
      </c>
      <c r="G27" s="187"/>
      <c r="H27" s="187" t="s">
        <v>793</v>
      </c>
      <c r="I27" s="284">
        <v>43.37</v>
      </c>
      <c r="J27" s="284"/>
      <c r="M27"/>
    </row>
    <row r="28" spans="1:13">
      <c r="A28" s="187"/>
      <c r="B28" s="187" t="s">
        <v>790</v>
      </c>
      <c r="C28" s="345">
        <v>45733</v>
      </c>
      <c r="D28" s="187">
        <v>32025</v>
      </c>
      <c r="E28" s="187" t="s">
        <v>791</v>
      </c>
      <c r="F28" s="187" t="s">
        <v>792</v>
      </c>
      <c r="G28" s="187"/>
      <c r="H28" s="187" t="s">
        <v>793</v>
      </c>
      <c r="I28" s="284">
        <v>12.39</v>
      </c>
      <c r="J28" s="284"/>
      <c r="M28"/>
    </row>
    <row r="29" spans="1:13">
      <c r="A29" s="187"/>
      <c r="B29" s="187" t="s">
        <v>790</v>
      </c>
      <c r="C29" s="345">
        <v>45733</v>
      </c>
      <c r="D29" s="187">
        <v>32025</v>
      </c>
      <c r="E29" s="187" t="s">
        <v>791</v>
      </c>
      <c r="F29" s="187" t="s">
        <v>792</v>
      </c>
      <c r="G29" s="187"/>
      <c r="H29" s="187" t="s">
        <v>793</v>
      </c>
      <c r="I29" s="284">
        <v>12.39</v>
      </c>
      <c r="J29" s="284"/>
      <c r="M29"/>
    </row>
    <row r="30" spans="1:13">
      <c r="A30" s="187"/>
      <c r="B30" s="187" t="s">
        <v>790</v>
      </c>
      <c r="C30" s="345">
        <v>45733</v>
      </c>
      <c r="D30" s="187">
        <v>32025</v>
      </c>
      <c r="E30" s="187" t="s">
        <v>791</v>
      </c>
      <c r="F30" s="187" t="s">
        <v>792</v>
      </c>
      <c r="G30" s="187"/>
      <c r="H30" s="187" t="s">
        <v>793</v>
      </c>
      <c r="I30" s="284">
        <v>12.39</v>
      </c>
      <c r="J30" s="284"/>
      <c r="M30"/>
    </row>
    <row r="31" spans="1:13">
      <c r="A31" s="187"/>
      <c r="B31" s="187" t="s">
        <v>790</v>
      </c>
      <c r="C31" s="345">
        <v>45748</v>
      </c>
      <c r="D31" s="187">
        <v>42025</v>
      </c>
      <c r="E31" s="187" t="s">
        <v>791</v>
      </c>
      <c r="F31" s="187" t="s">
        <v>792</v>
      </c>
      <c r="G31" s="187"/>
      <c r="H31" s="187" t="s">
        <v>793</v>
      </c>
      <c r="I31" s="284">
        <v>43.37</v>
      </c>
      <c r="J31" s="284"/>
      <c r="M31"/>
    </row>
    <row r="32" spans="1:13">
      <c r="A32" s="187"/>
      <c r="B32" s="187" t="s">
        <v>790</v>
      </c>
      <c r="C32" s="345">
        <v>45778</v>
      </c>
      <c r="D32" s="187">
        <v>52025</v>
      </c>
      <c r="E32" s="187" t="s">
        <v>791</v>
      </c>
      <c r="F32" s="187" t="s">
        <v>792</v>
      </c>
      <c r="G32" s="187"/>
      <c r="H32" s="187" t="s">
        <v>793</v>
      </c>
      <c r="I32" s="284">
        <v>43.37</v>
      </c>
      <c r="J32" s="284"/>
      <c r="M32"/>
    </row>
    <row r="33" spans="1:13">
      <c r="A33" s="187"/>
      <c r="B33" s="187" t="s">
        <v>790</v>
      </c>
      <c r="C33" s="345">
        <v>45779</v>
      </c>
      <c r="D33" s="187">
        <v>52025</v>
      </c>
      <c r="E33" s="187" t="s">
        <v>791</v>
      </c>
      <c r="F33" s="187" t="s">
        <v>792</v>
      </c>
      <c r="G33" s="187"/>
      <c r="H33" s="187" t="s">
        <v>793</v>
      </c>
      <c r="I33" s="284">
        <v>43.37</v>
      </c>
      <c r="J33" s="284"/>
      <c r="M33"/>
    </row>
    <row r="34" spans="1:13">
      <c r="A34" s="187"/>
      <c r="B34" s="187" t="s">
        <v>790</v>
      </c>
      <c r="C34" s="345">
        <v>45782</v>
      </c>
      <c r="D34" s="187">
        <v>52025</v>
      </c>
      <c r="E34" s="187" t="s">
        <v>791</v>
      </c>
      <c r="F34" s="187" t="s">
        <v>792</v>
      </c>
      <c r="G34" s="187"/>
      <c r="H34" s="187" t="s">
        <v>793</v>
      </c>
      <c r="I34" s="284">
        <v>43.37</v>
      </c>
      <c r="J34" s="284"/>
      <c r="M34"/>
    </row>
    <row r="35" spans="1:13">
      <c r="A35" s="187"/>
      <c r="B35" s="187" t="s">
        <v>790</v>
      </c>
      <c r="C35" s="345">
        <v>45786</v>
      </c>
      <c r="D35" s="187">
        <v>52025</v>
      </c>
      <c r="E35" s="187" t="s">
        <v>791</v>
      </c>
      <c r="F35" s="187" t="s">
        <v>792</v>
      </c>
      <c r="G35" s="187"/>
      <c r="H35" s="187" t="s">
        <v>793</v>
      </c>
      <c r="I35" s="284">
        <v>43.37</v>
      </c>
      <c r="J35" s="284"/>
      <c r="M35"/>
    </row>
    <row r="36" spans="1:13">
      <c r="A36" s="187"/>
      <c r="B36" s="187" t="s">
        <v>790</v>
      </c>
      <c r="C36" s="345">
        <v>45789</v>
      </c>
      <c r="D36" s="187">
        <v>52025</v>
      </c>
      <c r="E36" s="187" t="s">
        <v>791</v>
      </c>
      <c r="F36" s="187" t="s">
        <v>792</v>
      </c>
      <c r="G36" s="187"/>
      <c r="H36" s="187" t="s">
        <v>793</v>
      </c>
      <c r="I36" s="284">
        <v>43.37</v>
      </c>
      <c r="J36" s="284"/>
      <c r="M36"/>
    </row>
    <row r="37" spans="1:13">
      <c r="A37" s="187"/>
      <c r="B37" s="187" t="s">
        <v>790</v>
      </c>
      <c r="C37" s="345">
        <v>45789</v>
      </c>
      <c r="D37" s="187">
        <v>52025</v>
      </c>
      <c r="E37" s="187" t="s">
        <v>791</v>
      </c>
      <c r="F37" s="187" t="s">
        <v>792</v>
      </c>
      <c r="G37" s="187"/>
      <c r="H37" s="187" t="s">
        <v>793</v>
      </c>
      <c r="I37" s="284">
        <v>43.37</v>
      </c>
      <c r="J37" s="284"/>
      <c r="M37"/>
    </row>
    <row r="38" spans="1:13">
      <c r="A38" s="187"/>
      <c r="B38" s="187" t="s">
        <v>790</v>
      </c>
      <c r="C38" s="345">
        <v>45853</v>
      </c>
      <c r="D38" s="187">
        <v>72025</v>
      </c>
      <c r="E38" s="187" t="s">
        <v>791</v>
      </c>
      <c r="F38" s="187" t="s">
        <v>792</v>
      </c>
      <c r="G38" s="187"/>
      <c r="H38" s="187" t="s">
        <v>793</v>
      </c>
      <c r="I38" s="284">
        <v>43.37</v>
      </c>
      <c r="J38" s="284"/>
      <c r="M38"/>
    </row>
    <row r="39" spans="1:13">
      <c r="A39" s="187"/>
      <c r="B39" s="187" t="s">
        <v>790</v>
      </c>
      <c r="C39" s="345">
        <v>45853</v>
      </c>
      <c r="D39" s="187">
        <v>72025</v>
      </c>
      <c r="E39" s="187" t="s">
        <v>791</v>
      </c>
      <c r="F39" s="187" t="s">
        <v>792</v>
      </c>
      <c r="G39" s="187"/>
      <c r="H39" s="187" t="s">
        <v>793</v>
      </c>
      <c r="I39" s="284">
        <v>43.37</v>
      </c>
      <c r="J39" s="284"/>
      <c r="M39"/>
    </row>
    <row r="40" spans="1:13">
      <c r="A40" s="187"/>
      <c r="B40" s="187" t="s">
        <v>794</v>
      </c>
      <c r="C40" s="345">
        <v>45671</v>
      </c>
      <c r="D40" s="187">
        <v>11425</v>
      </c>
      <c r="E40" s="187" t="s">
        <v>795</v>
      </c>
      <c r="F40" s="187" t="s">
        <v>792</v>
      </c>
      <c r="G40" s="187"/>
      <c r="H40" s="187" t="s">
        <v>796</v>
      </c>
      <c r="I40" s="284">
        <v>63</v>
      </c>
      <c r="J40" s="284"/>
      <c r="M40"/>
    </row>
    <row r="41" spans="1:13">
      <c r="A41" s="187"/>
      <c r="B41" s="187" t="s">
        <v>790</v>
      </c>
      <c r="C41" s="345">
        <v>45670</v>
      </c>
      <c r="D41" s="187">
        <v>12025</v>
      </c>
      <c r="E41" s="187" t="s">
        <v>797</v>
      </c>
      <c r="F41" s="187" t="s">
        <v>792</v>
      </c>
      <c r="G41" s="187"/>
      <c r="H41" s="187" t="s">
        <v>793</v>
      </c>
      <c r="I41" s="284">
        <v>63</v>
      </c>
      <c r="J41" s="284"/>
      <c r="K41" s="187" t="s">
        <v>798</v>
      </c>
      <c r="M41"/>
    </row>
    <row r="42" spans="1:13">
      <c r="A42" s="187"/>
      <c r="B42" s="187" t="s">
        <v>790</v>
      </c>
      <c r="C42" s="345">
        <v>45671</v>
      </c>
      <c r="D42" s="187">
        <v>12025</v>
      </c>
      <c r="E42" s="187" t="s">
        <v>797</v>
      </c>
      <c r="F42" s="187" t="s">
        <v>792</v>
      </c>
      <c r="G42" s="187"/>
      <c r="H42" s="187" t="s">
        <v>793</v>
      </c>
      <c r="I42" s="284">
        <v>63</v>
      </c>
      <c r="J42" s="284"/>
      <c r="M42"/>
    </row>
    <row r="43" spans="1:13">
      <c r="A43" s="187"/>
      <c r="B43" s="187" t="s">
        <v>790</v>
      </c>
      <c r="C43" s="345">
        <v>45672</v>
      </c>
      <c r="D43" s="187">
        <v>12025</v>
      </c>
      <c r="E43" s="187" t="s">
        <v>797</v>
      </c>
      <c r="F43" s="187" t="s">
        <v>792</v>
      </c>
      <c r="G43" s="187"/>
      <c r="H43" s="187" t="s">
        <v>793</v>
      </c>
      <c r="I43" s="284">
        <v>63</v>
      </c>
      <c r="J43" s="284"/>
      <c r="M43"/>
    </row>
    <row r="44" spans="1:13">
      <c r="A44" s="187"/>
      <c r="B44" s="187" t="s">
        <v>790</v>
      </c>
      <c r="C44" s="345">
        <v>45717</v>
      </c>
      <c r="D44" s="187">
        <v>32025</v>
      </c>
      <c r="E44" s="187" t="s">
        <v>797</v>
      </c>
      <c r="F44" s="187" t="s">
        <v>792</v>
      </c>
      <c r="G44" s="187"/>
      <c r="H44" s="187" t="s">
        <v>793</v>
      </c>
      <c r="I44" s="284">
        <v>63</v>
      </c>
      <c r="J44" s="284"/>
      <c r="M44"/>
    </row>
    <row r="45" spans="1:13">
      <c r="A45" s="187"/>
      <c r="B45" s="187" t="s">
        <v>790</v>
      </c>
      <c r="C45" s="345">
        <v>45726</v>
      </c>
      <c r="D45" s="187">
        <v>32025</v>
      </c>
      <c r="E45" s="187" t="s">
        <v>797</v>
      </c>
      <c r="F45" s="187" t="s">
        <v>792</v>
      </c>
      <c r="G45" s="187"/>
      <c r="H45" s="187" t="s">
        <v>793</v>
      </c>
      <c r="I45" s="284">
        <v>63</v>
      </c>
      <c r="J45" s="284"/>
      <c r="M45"/>
    </row>
    <row r="46" spans="1:13">
      <c r="A46" s="187"/>
      <c r="B46" s="187" t="s">
        <v>790</v>
      </c>
      <c r="C46" s="345">
        <v>45726</v>
      </c>
      <c r="D46" s="187">
        <v>32025</v>
      </c>
      <c r="E46" s="187" t="s">
        <v>797</v>
      </c>
      <c r="F46" s="187" t="s">
        <v>792</v>
      </c>
      <c r="G46" s="187"/>
      <c r="H46" s="187" t="s">
        <v>793</v>
      </c>
      <c r="I46" s="284">
        <v>63</v>
      </c>
      <c r="J46" s="284"/>
      <c r="M46"/>
    </row>
    <row r="47" spans="1:13">
      <c r="A47" s="187"/>
      <c r="B47" s="187" t="s">
        <v>790</v>
      </c>
      <c r="C47" s="345">
        <v>45728</v>
      </c>
      <c r="D47" s="187">
        <v>32025</v>
      </c>
      <c r="E47" s="187" t="s">
        <v>797</v>
      </c>
      <c r="F47" s="187" t="s">
        <v>792</v>
      </c>
      <c r="G47" s="187"/>
      <c r="H47" s="187" t="s">
        <v>793</v>
      </c>
      <c r="I47" s="284">
        <v>16</v>
      </c>
      <c r="J47" s="284"/>
      <c r="M47"/>
    </row>
    <row r="48" spans="1:13">
      <c r="A48" s="187"/>
      <c r="B48" s="187" t="s">
        <v>790</v>
      </c>
      <c r="C48" s="345">
        <v>45728</v>
      </c>
      <c r="D48" s="187">
        <v>32025</v>
      </c>
      <c r="E48" s="187" t="s">
        <v>797</v>
      </c>
      <c r="F48" s="187" t="s">
        <v>792</v>
      </c>
      <c r="G48" s="187"/>
      <c r="H48" s="187" t="s">
        <v>793</v>
      </c>
      <c r="I48" s="284">
        <v>63</v>
      </c>
      <c r="J48" s="284"/>
      <c r="M48"/>
    </row>
    <row r="49" spans="1:13">
      <c r="A49" s="187"/>
      <c r="B49" s="187" t="s">
        <v>790</v>
      </c>
      <c r="C49" s="345">
        <v>45733</v>
      </c>
      <c r="D49" s="187">
        <v>32025</v>
      </c>
      <c r="E49" s="187" t="s">
        <v>797</v>
      </c>
      <c r="F49" s="187" t="s">
        <v>792</v>
      </c>
      <c r="G49" s="187"/>
      <c r="H49" s="187" t="s">
        <v>793</v>
      </c>
      <c r="I49" s="284">
        <v>63</v>
      </c>
      <c r="J49" s="284"/>
      <c r="M49"/>
    </row>
    <row r="50" spans="1:13">
      <c r="A50" s="187"/>
      <c r="B50" s="187" t="s">
        <v>790</v>
      </c>
      <c r="C50" s="345">
        <v>45748</v>
      </c>
      <c r="D50" s="187">
        <v>42025</v>
      </c>
      <c r="E50" s="187" t="s">
        <v>797</v>
      </c>
      <c r="F50" s="187" t="s">
        <v>792</v>
      </c>
      <c r="G50" s="187"/>
      <c r="H50" s="187" t="s">
        <v>793</v>
      </c>
      <c r="I50" s="284">
        <v>63</v>
      </c>
      <c r="J50" s="284"/>
      <c r="M50"/>
    </row>
    <row r="51" spans="1:13">
      <c r="A51" s="187"/>
      <c r="B51" s="187" t="s">
        <v>790</v>
      </c>
      <c r="C51" s="345">
        <v>45749</v>
      </c>
      <c r="D51" s="187">
        <v>42025</v>
      </c>
      <c r="E51" s="187" t="s">
        <v>797</v>
      </c>
      <c r="F51" s="187" t="s">
        <v>792</v>
      </c>
      <c r="G51" s="187"/>
      <c r="H51" s="187" t="s">
        <v>793</v>
      </c>
      <c r="I51" s="284">
        <v>63</v>
      </c>
      <c r="J51" s="284"/>
      <c r="M51"/>
    </row>
    <row r="52" spans="1:13">
      <c r="A52" s="187"/>
      <c r="B52" s="187" t="s">
        <v>790</v>
      </c>
      <c r="C52" s="345">
        <v>45751</v>
      </c>
      <c r="D52" s="187">
        <v>42025</v>
      </c>
      <c r="E52" s="187" t="s">
        <v>797</v>
      </c>
      <c r="F52" s="187" t="s">
        <v>792</v>
      </c>
      <c r="G52" s="187"/>
      <c r="H52" s="187" t="s">
        <v>793</v>
      </c>
      <c r="I52" s="284">
        <v>63</v>
      </c>
      <c r="J52" s="284"/>
      <c r="M52"/>
    </row>
    <row r="53" spans="1:13">
      <c r="A53" s="187"/>
      <c r="B53" s="187" t="s">
        <v>790</v>
      </c>
      <c r="C53" s="345">
        <v>45761</v>
      </c>
      <c r="D53" s="187">
        <v>42025</v>
      </c>
      <c r="E53" s="187" t="s">
        <v>797</v>
      </c>
      <c r="F53" s="187" t="s">
        <v>792</v>
      </c>
      <c r="G53" s="187"/>
      <c r="H53" s="187" t="s">
        <v>793</v>
      </c>
      <c r="I53" s="284">
        <v>63</v>
      </c>
      <c r="J53" s="284"/>
      <c r="M53"/>
    </row>
    <row r="54" spans="1:13">
      <c r="A54" s="187"/>
      <c r="B54" s="187" t="s">
        <v>790</v>
      </c>
      <c r="C54" s="345">
        <v>45765</v>
      </c>
      <c r="D54" s="187">
        <v>42025</v>
      </c>
      <c r="E54" s="187" t="s">
        <v>797</v>
      </c>
      <c r="F54" s="187" t="s">
        <v>792</v>
      </c>
      <c r="G54" s="187"/>
      <c r="H54" s="187" t="s">
        <v>793</v>
      </c>
      <c r="I54" s="284">
        <v>63</v>
      </c>
      <c r="J54" s="284"/>
      <c r="M54"/>
    </row>
    <row r="55" spans="1:13">
      <c r="A55" s="187"/>
      <c r="B55" s="187" t="s">
        <v>790</v>
      </c>
      <c r="C55" s="345">
        <v>45792</v>
      </c>
      <c r="D55" s="187">
        <v>52025</v>
      </c>
      <c r="E55" s="187" t="s">
        <v>797</v>
      </c>
      <c r="F55" s="187" t="s">
        <v>792</v>
      </c>
      <c r="G55" s="187"/>
      <c r="H55" s="187" t="s">
        <v>793</v>
      </c>
      <c r="I55" s="284">
        <v>63</v>
      </c>
      <c r="J55" s="284"/>
      <c r="M55"/>
    </row>
    <row r="56" spans="1:13">
      <c r="A56" s="187"/>
      <c r="B56" s="187" t="s">
        <v>790</v>
      </c>
      <c r="C56" s="345">
        <v>45839</v>
      </c>
      <c r="D56" s="187">
        <v>72025</v>
      </c>
      <c r="E56" s="187" t="s">
        <v>797</v>
      </c>
      <c r="F56" s="187" t="s">
        <v>792</v>
      </c>
      <c r="G56" s="187"/>
      <c r="H56" s="187" t="s">
        <v>793</v>
      </c>
      <c r="I56" s="284">
        <v>63</v>
      </c>
      <c r="J56" s="284"/>
      <c r="M56"/>
    </row>
    <row r="57" spans="1:13">
      <c r="A57" s="187"/>
      <c r="B57" s="187" t="s">
        <v>790</v>
      </c>
      <c r="C57" s="345">
        <v>45841</v>
      </c>
      <c r="D57" s="187">
        <v>72025</v>
      </c>
      <c r="E57" s="187" t="s">
        <v>797</v>
      </c>
      <c r="F57" s="187" t="s">
        <v>792</v>
      </c>
      <c r="G57" s="187"/>
      <c r="H57" s="187" t="s">
        <v>793</v>
      </c>
      <c r="I57" s="284">
        <v>63</v>
      </c>
      <c r="J57" s="284"/>
      <c r="M57"/>
    </row>
    <row r="58" spans="1:13">
      <c r="A58" s="187"/>
      <c r="B58" s="187" t="s">
        <v>790</v>
      </c>
      <c r="C58" s="345">
        <v>45870</v>
      </c>
      <c r="D58" s="187">
        <v>82025</v>
      </c>
      <c r="E58" s="187" t="s">
        <v>797</v>
      </c>
      <c r="F58" s="187" t="s">
        <v>792</v>
      </c>
      <c r="G58" s="187"/>
      <c r="H58" s="187" t="s">
        <v>793</v>
      </c>
      <c r="I58" s="284">
        <v>63</v>
      </c>
      <c r="J58" s="284"/>
      <c r="M58"/>
    </row>
    <row r="59" spans="1:13">
      <c r="A59" s="187"/>
      <c r="B59" s="187" t="s">
        <v>790</v>
      </c>
      <c r="C59" s="345">
        <v>45870</v>
      </c>
      <c r="D59" s="187">
        <v>82025</v>
      </c>
      <c r="E59" s="187" t="s">
        <v>797</v>
      </c>
      <c r="F59" s="187" t="s">
        <v>792</v>
      </c>
      <c r="G59" s="187"/>
      <c r="H59" s="187" t="s">
        <v>793</v>
      </c>
      <c r="I59" s="284">
        <v>63</v>
      </c>
      <c r="J59" s="284"/>
      <c r="M59"/>
    </row>
    <row r="60" spans="1:13">
      <c r="A60" s="187"/>
      <c r="B60" s="187" t="s">
        <v>790</v>
      </c>
      <c r="C60" s="345">
        <v>45870</v>
      </c>
      <c r="D60" s="187">
        <v>82025</v>
      </c>
      <c r="E60" s="187" t="s">
        <v>797</v>
      </c>
      <c r="F60" s="187" t="s">
        <v>792</v>
      </c>
      <c r="G60" s="187"/>
      <c r="H60" s="187" t="s">
        <v>793</v>
      </c>
      <c r="I60" s="284">
        <v>63</v>
      </c>
      <c r="J60" s="284"/>
      <c r="M60"/>
    </row>
    <row r="61" spans="1:13">
      <c r="A61" s="187"/>
      <c r="B61" s="187" t="s">
        <v>790</v>
      </c>
      <c r="C61" s="345">
        <v>45870</v>
      </c>
      <c r="D61" s="187">
        <v>82025</v>
      </c>
      <c r="E61" s="187" t="s">
        <v>797</v>
      </c>
      <c r="F61" s="187" t="s">
        <v>792</v>
      </c>
      <c r="G61" s="187"/>
      <c r="H61" s="187" t="s">
        <v>793</v>
      </c>
      <c r="I61" s="284">
        <v>63</v>
      </c>
      <c r="J61" s="284"/>
      <c r="M61"/>
    </row>
    <row r="62" spans="1:13">
      <c r="A62" s="187"/>
      <c r="B62" s="187" t="s">
        <v>790</v>
      </c>
      <c r="C62" s="345">
        <v>45901</v>
      </c>
      <c r="D62" s="187">
        <v>92025</v>
      </c>
      <c r="E62" s="187" t="s">
        <v>797</v>
      </c>
      <c r="F62" s="187" t="s">
        <v>792</v>
      </c>
      <c r="G62" s="187"/>
      <c r="H62" s="187" t="s">
        <v>793</v>
      </c>
      <c r="I62" s="284">
        <v>63</v>
      </c>
      <c r="J62" s="284"/>
      <c r="M62"/>
    </row>
    <row r="63" spans="1:13">
      <c r="A63" s="187"/>
      <c r="B63" s="187" t="s">
        <v>790</v>
      </c>
      <c r="C63" s="345">
        <v>45906</v>
      </c>
      <c r="D63" s="187">
        <v>92025</v>
      </c>
      <c r="E63" s="187" t="s">
        <v>797</v>
      </c>
      <c r="F63" s="187" t="s">
        <v>792</v>
      </c>
      <c r="G63" s="187"/>
      <c r="H63" s="187" t="s">
        <v>793</v>
      </c>
      <c r="I63" s="284">
        <v>63</v>
      </c>
      <c r="J63" s="284"/>
      <c r="M63"/>
    </row>
    <row r="64" spans="1:13">
      <c r="A64" s="187"/>
      <c r="B64" s="187" t="s">
        <v>794</v>
      </c>
      <c r="C64" s="345">
        <v>45831</v>
      </c>
      <c r="D64" s="187">
        <v>62325</v>
      </c>
      <c r="E64" s="187" t="s">
        <v>799</v>
      </c>
      <c r="F64" s="187" t="s">
        <v>792</v>
      </c>
      <c r="G64" s="187"/>
      <c r="H64" s="187" t="s">
        <v>796</v>
      </c>
      <c r="I64" s="284">
        <v>79</v>
      </c>
      <c r="J64" s="284"/>
      <c r="M64"/>
    </row>
    <row r="65" spans="1:13">
      <c r="A65" s="187"/>
      <c r="B65" s="187"/>
      <c r="C65" s="187"/>
      <c r="D65" s="187"/>
      <c r="E65" s="187"/>
      <c r="F65" s="187"/>
      <c r="G65" s="187"/>
      <c r="H65" s="187"/>
      <c r="I65" s="187"/>
      <c r="J65" s="187"/>
      <c r="M65"/>
    </row>
    <row r="66" spans="1:13">
      <c r="A66" s="187"/>
      <c r="B66" s="187" t="s">
        <v>790</v>
      </c>
      <c r="C66" s="345">
        <v>45658</v>
      </c>
      <c r="D66" s="187">
        <v>12025</v>
      </c>
      <c r="E66" s="187" t="s">
        <v>800</v>
      </c>
      <c r="F66" s="187" t="s">
        <v>792</v>
      </c>
      <c r="G66" s="187"/>
      <c r="H66" s="187" t="s">
        <v>793</v>
      </c>
      <c r="I66" s="284">
        <v>25</v>
      </c>
      <c r="J66" s="284"/>
      <c r="K66" s="187" t="s">
        <v>801</v>
      </c>
      <c r="M66"/>
    </row>
    <row r="67" spans="1:13">
      <c r="A67" s="187"/>
      <c r="B67" s="187" t="s">
        <v>790</v>
      </c>
      <c r="C67" s="345">
        <v>45670</v>
      </c>
      <c r="D67" s="187">
        <v>12025</v>
      </c>
      <c r="E67" s="187" t="s">
        <v>800</v>
      </c>
      <c r="F67" s="187" t="s">
        <v>792</v>
      </c>
      <c r="G67" s="187"/>
      <c r="H67" s="187" t="s">
        <v>793</v>
      </c>
      <c r="I67" s="284">
        <v>25</v>
      </c>
      <c r="J67" s="284"/>
      <c r="M67"/>
    </row>
    <row r="68" spans="1:13">
      <c r="A68" s="187"/>
      <c r="B68" s="187" t="s">
        <v>790</v>
      </c>
      <c r="C68" s="345">
        <v>45670</v>
      </c>
      <c r="D68" s="187">
        <v>12025</v>
      </c>
      <c r="E68" s="187" t="s">
        <v>800</v>
      </c>
      <c r="F68" s="187" t="s">
        <v>792</v>
      </c>
      <c r="G68" s="187"/>
      <c r="H68" s="187" t="s">
        <v>793</v>
      </c>
      <c r="I68" s="284">
        <v>25</v>
      </c>
      <c r="J68" s="284"/>
      <c r="M68"/>
    </row>
    <row r="69" spans="1:13">
      <c r="A69" s="187"/>
      <c r="B69" s="187" t="s">
        <v>790</v>
      </c>
      <c r="C69" s="345">
        <v>45673</v>
      </c>
      <c r="D69" s="187">
        <v>12025</v>
      </c>
      <c r="E69" s="187" t="s">
        <v>800</v>
      </c>
      <c r="F69" s="187" t="s">
        <v>792</v>
      </c>
      <c r="G69" s="187"/>
      <c r="H69" s="187" t="s">
        <v>793</v>
      </c>
      <c r="I69" s="284">
        <v>25</v>
      </c>
      <c r="J69" s="284"/>
      <c r="M69"/>
    </row>
    <row r="70" spans="1:13">
      <c r="A70" s="187"/>
      <c r="B70" s="187" t="s">
        <v>790</v>
      </c>
      <c r="C70" s="345">
        <v>45689</v>
      </c>
      <c r="D70" s="187">
        <v>22025</v>
      </c>
      <c r="E70" s="187" t="s">
        <v>800</v>
      </c>
      <c r="F70" s="187" t="s">
        <v>792</v>
      </c>
      <c r="G70" s="187"/>
      <c r="H70" s="187" t="s">
        <v>793</v>
      </c>
      <c r="I70" s="284">
        <v>25</v>
      </c>
      <c r="J70" s="284"/>
      <c r="M70"/>
    </row>
    <row r="71" spans="1:13">
      <c r="A71" s="187"/>
      <c r="B71" s="187" t="s">
        <v>790</v>
      </c>
      <c r="C71" s="345">
        <v>45689</v>
      </c>
      <c r="D71" s="187">
        <v>22025</v>
      </c>
      <c r="E71" s="187" t="s">
        <v>800</v>
      </c>
      <c r="F71" s="187" t="s">
        <v>792</v>
      </c>
      <c r="G71" s="187"/>
      <c r="H71" s="187" t="s">
        <v>793</v>
      </c>
      <c r="I71" s="284">
        <v>25</v>
      </c>
      <c r="J71" s="284"/>
      <c r="M71"/>
    </row>
    <row r="72" spans="1:13">
      <c r="A72" s="187"/>
      <c r="B72" s="187" t="s">
        <v>790</v>
      </c>
      <c r="C72" s="345">
        <v>45689</v>
      </c>
      <c r="D72" s="187">
        <v>22025</v>
      </c>
      <c r="E72" s="187" t="s">
        <v>800</v>
      </c>
      <c r="F72" s="187" t="s">
        <v>792</v>
      </c>
      <c r="G72" s="187"/>
      <c r="H72" s="187" t="s">
        <v>793</v>
      </c>
      <c r="I72" s="284">
        <v>25</v>
      </c>
      <c r="J72" s="284"/>
      <c r="M72"/>
    </row>
    <row r="73" spans="1:13">
      <c r="A73" s="187"/>
      <c r="B73" s="187" t="s">
        <v>790</v>
      </c>
      <c r="C73" s="345">
        <v>45695</v>
      </c>
      <c r="D73" s="187">
        <v>22025</v>
      </c>
      <c r="E73" s="187" t="s">
        <v>800</v>
      </c>
      <c r="F73" s="187" t="s">
        <v>792</v>
      </c>
      <c r="G73" s="187"/>
      <c r="H73" s="187" t="s">
        <v>793</v>
      </c>
      <c r="I73" s="284">
        <v>25</v>
      </c>
      <c r="J73" s="284"/>
      <c r="M73"/>
    </row>
    <row r="74" spans="1:13">
      <c r="A74" s="187"/>
      <c r="B74" s="187" t="s">
        <v>790</v>
      </c>
      <c r="C74" s="345">
        <v>45698</v>
      </c>
      <c r="D74" s="187">
        <v>22025</v>
      </c>
      <c r="E74" s="187" t="s">
        <v>800</v>
      </c>
      <c r="F74" s="187" t="s">
        <v>792</v>
      </c>
      <c r="G74" s="187"/>
      <c r="H74" s="187" t="s">
        <v>793</v>
      </c>
      <c r="I74" s="284">
        <v>25</v>
      </c>
      <c r="J74" s="284"/>
      <c r="M74"/>
    </row>
    <row r="75" spans="1:13">
      <c r="A75" s="187"/>
      <c r="B75" s="187" t="s">
        <v>790</v>
      </c>
      <c r="C75" s="345">
        <v>45700</v>
      </c>
      <c r="D75" s="187">
        <v>22025</v>
      </c>
      <c r="E75" s="187" t="s">
        <v>800</v>
      </c>
      <c r="F75" s="187" t="s">
        <v>792</v>
      </c>
      <c r="G75" s="187"/>
      <c r="H75" s="187" t="s">
        <v>793</v>
      </c>
      <c r="I75" s="284">
        <v>25</v>
      </c>
      <c r="J75" s="284"/>
      <c r="M75"/>
    </row>
    <row r="76" spans="1:13">
      <c r="A76" s="187"/>
      <c r="B76" s="187" t="s">
        <v>790</v>
      </c>
      <c r="C76" s="345">
        <v>45700</v>
      </c>
      <c r="D76" s="187">
        <v>22025</v>
      </c>
      <c r="E76" s="187" t="s">
        <v>800</v>
      </c>
      <c r="F76" s="187" t="s">
        <v>792</v>
      </c>
      <c r="G76" s="187"/>
      <c r="H76" s="187" t="s">
        <v>793</v>
      </c>
      <c r="I76" s="284">
        <v>25</v>
      </c>
      <c r="J76" s="284"/>
      <c r="M76"/>
    </row>
    <row r="77" spans="1:13">
      <c r="A77" s="187"/>
      <c r="B77" s="187" t="s">
        <v>790</v>
      </c>
      <c r="C77" s="345">
        <v>45702</v>
      </c>
      <c r="D77" s="187">
        <v>22025</v>
      </c>
      <c r="E77" s="187" t="s">
        <v>800</v>
      </c>
      <c r="F77" s="187" t="s">
        <v>792</v>
      </c>
      <c r="G77" s="187"/>
      <c r="H77" s="187" t="s">
        <v>793</v>
      </c>
      <c r="I77" s="284">
        <v>25</v>
      </c>
      <c r="J77" s="284"/>
      <c r="M77"/>
    </row>
    <row r="78" spans="1:13">
      <c r="A78" s="187"/>
      <c r="B78" s="187" t="s">
        <v>790</v>
      </c>
      <c r="C78" s="345">
        <v>45702</v>
      </c>
      <c r="D78" s="187">
        <v>22025</v>
      </c>
      <c r="E78" s="187" t="s">
        <v>800</v>
      </c>
      <c r="F78" s="187" t="s">
        <v>792</v>
      </c>
      <c r="G78" s="187"/>
      <c r="H78" s="187" t="s">
        <v>793</v>
      </c>
      <c r="I78" s="284">
        <v>25</v>
      </c>
      <c r="J78" s="284"/>
      <c r="M78"/>
    </row>
    <row r="79" spans="1:13">
      <c r="A79" s="187"/>
      <c r="B79" s="187" t="s">
        <v>790</v>
      </c>
      <c r="C79" s="345">
        <v>45717</v>
      </c>
      <c r="D79" s="187">
        <v>32025</v>
      </c>
      <c r="E79" s="187" t="s">
        <v>800</v>
      </c>
      <c r="F79" s="187" t="s">
        <v>792</v>
      </c>
      <c r="G79" s="187"/>
      <c r="H79" s="187" t="s">
        <v>793</v>
      </c>
      <c r="I79" s="284">
        <v>25</v>
      </c>
      <c r="J79" s="284"/>
      <c r="M79"/>
    </row>
    <row r="80" spans="1:13">
      <c r="A80" s="187"/>
      <c r="B80" s="187" t="s">
        <v>790</v>
      </c>
      <c r="C80" s="345">
        <v>45721</v>
      </c>
      <c r="D80" s="187">
        <v>32025</v>
      </c>
      <c r="E80" s="187" t="s">
        <v>800</v>
      </c>
      <c r="F80" s="187" t="s">
        <v>792</v>
      </c>
      <c r="G80" s="187"/>
      <c r="H80" s="187" t="s">
        <v>793</v>
      </c>
      <c r="I80" s="284">
        <v>25</v>
      </c>
      <c r="J80" s="284"/>
      <c r="M80"/>
    </row>
    <row r="81" spans="1:13">
      <c r="A81" s="187"/>
      <c r="B81" s="187" t="s">
        <v>790</v>
      </c>
      <c r="C81" s="345">
        <v>45721</v>
      </c>
      <c r="D81" s="187">
        <v>32025</v>
      </c>
      <c r="E81" s="187" t="s">
        <v>800</v>
      </c>
      <c r="F81" s="187" t="s">
        <v>792</v>
      </c>
      <c r="G81" s="187"/>
      <c r="H81" s="187" t="s">
        <v>793</v>
      </c>
      <c r="I81" s="284">
        <v>25</v>
      </c>
      <c r="J81" s="284"/>
      <c r="M81"/>
    </row>
    <row r="82" spans="1:13">
      <c r="A82" s="187"/>
      <c r="B82" s="187" t="s">
        <v>790</v>
      </c>
      <c r="C82" s="345">
        <v>45727</v>
      </c>
      <c r="D82" s="187">
        <v>32025</v>
      </c>
      <c r="E82" s="187" t="s">
        <v>800</v>
      </c>
      <c r="F82" s="187" t="s">
        <v>792</v>
      </c>
      <c r="G82" s="187"/>
      <c r="H82" s="187" t="s">
        <v>793</v>
      </c>
      <c r="I82" s="284">
        <v>25</v>
      </c>
      <c r="J82" s="284"/>
      <c r="M82"/>
    </row>
    <row r="83" spans="1:13">
      <c r="A83" s="187"/>
      <c r="B83" s="187" t="s">
        <v>790</v>
      </c>
      <c r="C83" s="345">
        <v>45727</v>
      </c>
      <c r="D83" s="187">
        <v>32025</v>
      </c>
      <c r="E83" s="187" t="s">
        <v>800</v>
      </c>
      <c r="F83" s="187" t="s">
        <v>792</v>
      </c>
      <c r="G83" s="187"/>
      <c r="H83" s="187" t="s">
        <v>793</v>
      </c>
      <c r="I83" s="284">
        <v>25</v>
      </c>
      <c r="J83" s="284"/>
      <c r="M83"/>
    </row>
    <row r="84" spans="1:13">
      <c r="A84" s="187"/>
      <c r="B84" s="187" t="s">
        <v>790</v>
      </c>
      <c r="C84" s="345">
        <v>45727</v>
      </c>
      <c r="D84" s="187">
        <v>32025</v>
      </c>
      <c r="E84" s="187" t="s">
        <v>800</v>
      </c>
      <c r="F84" s="187" t="s">
        <v>792</v>
      </c>
      <c r="G84" s="187"/>
      <c r="H84" s="187" t="s">
        <v>793</v>
      </c>
      <c r="I84" s="284">
        <v>25</v>
      </c>
      <c r="J84" s="284"/>
      <c r="M84"/>
    </row>
    <row r="85" spans="1:13">
      <c r="A85" s="187"/>
      <c r="B85" s="187" t="s">
        <v>790</v>
      </c>
      <c r="C85" s="345">
        <v>45735</v>
      </c>
      <c r="D85" s="187">
        <v>32025</v>
      </c>
      <c r="E85" s="187" t="s">
        <v>800</v>
      </c>
      <c r="F85" s="187" t="s">
        <v>792</v>
      </c>
      <c r="G85" s="187"/>
      <c r="H85" s="187" t="s">
        <v>793</v>
      </c>
      <c r="I85" s="284">
        <v>25</v>
      </c>
      <c r="J85" s="284"/>
      <c r="M85"/>
    </row>
    <row r="86" spans="1:13">
      <c r="A86" s="187"/>
      <c r="B86" s="187" t="s">
        <v>790</v>
      </c>
      <c r="C86" s="345">
        <v>45735</v>
      </c>
      <c r="D86" s="187">
        <v>32025</v>
      </c>
      <c r="E86" s="187" t="s">
        <v>800</v>
      </c>
      <c r="F86" s="187" t="s">
        <v>792</v>
      </c>
      <c r="G86" s="187"/>
      <c r="H86" s="187" t="s">
        <v>793</v>
      </c>
      <c r="I86" s="284">
        <v>25</v>
      </c>
      <c r="J86" s="284"/>
      <c r="M86"/>
    </row>
    <row r="87" spans="1:13">
      <c r="A87" s="187"/>
      <c r="B87" s="187" t="s">
        <v>790</v>
      </c>
      <c r="C87" s="345">
        <v>45735</v>
      </c>
      <c r="D87" s="187">
        <v>32025</v>
      </c>
      <c r="E87" s="187" t="s">
        <v>800</v>
      </c>
      <c r="F87" s="187" t="s">
        <v>792</v>
      </c>
      <c r="G87" s="187"/>
      <c r="H87" s="187" t="s">
        <v>793</v>
      </c>
      <c r="I87" s="284">
        <v>25</v>
      </c>
      <c r="J87" s="284"/>
      <c r="M87"/>
    </row>
    <row r="88" spans="1:13">
      <c r="A88" s="187"/>
      <c r="B88" s="187" t="s">
        <v>790</v>
      </c>
      <c r="C88" s="345">
        <v>45748</v>
      </c>
      <c r="D88" s="187">
        <v>42025</v>
      </c>
      <c r="E88" s="187" t="s">
        <v>800</v>
      </c>
      <c r="F88" s="187" t="s">
        <v>792</v>
      </c>
      <c r="G88" s="187"/>
      <c r="H88" s="187" t="s">
        <v>793</v>
      </c>
      <c r="I88" s="284">
        <v>25</v>
      </c>
      <c r="J88" s="284"/>
      <c r="M88"/>
    </row>
    <row r="89" spans="1:13">
      <c r="A89" s="187"/>
      <c r="B89" s="187" t="s">
        <v>790</v>
      </c>
      <c r="C89" s="345">
        <v>45748</v>
      </c>
      <c r="D89" s="187">
        <v>42025</v>
      </c>
      <c r="E89" s="187" t="s">
        <v>800</v>
      </c>
      <c r="F89" s="187" t="s">
        <v>792</v>
      </c>
      <c r="G89" s="187"/>
      <c r="H89" s="187" t="s">
        <v>793</v>
      </c>
      <c r="I89" s="284">
        <v>25</v>
      </c>
      <c r="J89" s="284"/>
      <c r="M89"/>
    </row>
    <row r="90" spans="1:13">
      <c r="A90" s="187"/>
      <c r="B90" s="187" t="s">
        <v>790</v>
      </c>
      <c r="C90" s="345">
        <v>45748</v>
      </c>
      <c r="D90" s="187">
        <v>42025</v>
      </c>
      <c r="E90" s="187" t="s">
        <v>800</v>
      </c>
      <c r="F90" s="187" t="s">
        <v>792</v>
      </c>
      <c r="G90" s="187"/>
      <c r="H90" s="187" t="s">
        <v>793</v>
      </c>
      <c r="I90" s="284">
        <v>25</v>
      </c>
      <c r="J90" s="284"/>
      <c r="M90"/>
    </row>
    <row r="91" spans="1:13">
      <c r="A91" s="187"/>
      <c r="B91" s="187" t="s">
        <v>790</v>
      </c>
      <c r="C91" s="345">
        <v>45748</v>
      </c>
      <c r="D91" s="187">
        <v>42025</v>
      </c>
      <c r="E91" s="187" t="s">
        <v>800</v>
      </c>
      <c r="F91" s="187" t="s">
        <v>792</v>
      </c>
      <c r="G91" s="187"/>
      <c r="H91" s="187" t="s">
        <v>793</v>
      </c>
      <c r="I91" s="284">
        <v>25</v>
      </c>
      <c r="J91" s="284"/>
      <c r="M91"/>
    </row>
    <row r="92" spans="1:13">
      <c r="A92" s="187"/>
      <c r="B92" s="187" t="s">
        <v>790</v>
      </c>
      <c r="C92" s="345">
        <v>45749</v>
      </c>
      <c r="D92" s="187">
        <v>42025</v>
      </c>
      <c r="E92" s="187" t="s">
        <v>800</v>
      </c>
      <c r="F92" s="187" t="s">
        <v>792</v>
      </c>
      <c r="G92" s="187"/>
      <c r="H92" s="187" t="s">
        <v>793</v>
      </c>
      <c r="I92" s="284">
        <v>25</v>
      </c>
      <c r="J92" s="284"/>
      <c r="M92"/>
    </row>
    <row r="93" spans="1:13">
      <c r="A93" s="187"/>
      <c r="B93" s="187" t="s">
        <v>790</v>
      </c>
      <c r="C93" s="345">
        <v>45754</v>
      </c>
      <c r="D93" s="187">
        <v>42025</v>
      </c>
      <c r="E93" s="187" t="s">
        <v>800</v>
      </c>
      <c r="F93" s="187" t="s">
        <v>792</v>
      </c>
      <c r="G93" s="187"/>
      <c r="H93" s="187" t="s">
        <v>793</v>
      </c>
      <c r="I93" s="284">
        <v>25</v>
      </c>
      <c r="J93" s="284"/>
      <c r="M93"/>
    </row>
    <row r="94" spans="1:13">
      <c r="A94" s="187"/>
      <c r="B94" s="187" t="s">
        <v>790</v>
      </c>
      <c r="C94" s="345">
        <v>45757</v>
      </c>
      <c r="D94" s="187">
        <v>42025</v>
      </c>
      <c r="E94" s="187" t="s">
        <v>800</v>
      </c>
      <c r="F94" s="187" t="s">
        <v>792</v>
      </c>
      <c r="G94" s="187"/>
      <c r="H94" s="187" t="s">
        <v>793</v>
      </c>
      <c r="I94" s="284">
        <v>25</v>
      </c>
      <c r="J94" s="284"/>
      <c r="M94"/>
    </row>
    <row r="95" spans="1:13">
      <c r="A95" s="187"/>
      <c r="B95" s="187" t="s">
        <v>790</v>
      </c>
      <c r="C95" s="345">
        <v>45757</v>
      </c>
      <c r="D95" s="187">
        <v>42025</v>
      </c>
      <c r="E95" s="187" t="s">
        <v>800</v>
      </c>
      <c r="F95" s="187" t="s">
        <v>792</v>
      </c>
      <c r="G95" s="187"/>
      <c r="H95" s="187" t="s">
        <v>793</v>
      </c>
      <c r="I95" s="284">
        <v>25</v>
      </c>
      <c r="J95" s="284"/>
      <c r="M95"/>
    </row>
    <row r="96" spans="1:13">
      <c r="A96" s="187"/>
      <c r="B96" s="187" t="s">
        <v>790</v>
      </c>
      <c r="C96" s="345">
        <v>45758</v>
      </c>
      <c r="D96" s="187">
        <v>42025</v>
      </c>
      <c r="E96" s="187" t="s">
        <v>800</v>
      </c>
      <c r="F96" s="187" t="s">
        <v>792</v>
      </c>
      <c r="G96" s="187"/>
      <c r="H96" s="187" t="s">
        <v>793</v>
      </c>
      <c r="I96" s="284">
        <v>25</v>
      </c>
      <c r="J96" s="284"/>
      <c r="M96"/>
    </row>
    <row r="97" spans="1:13">
      <c r="A97" s="187"/>
      <c r="B97" s="187" t="s">
        <v>790</v>
      </c>
      <c r="C97" s="345">
        <v>45761</v>
      </c>
      <c r="D97" s="187">
        <v>42025</v>
      </c>
      <c r="E97" s="187" t="s">
        <v>800</v>
      </c>
      <c r="F97" s="187" t="s">
        <v>792</v>
      </c>
      <c r="G97" s="187"/>
      <c r="H97" s="187" t="s">
        <v>793</v>
      </c>
      <c r="I97" s="284">
        <v>25</v>
      </c>
      <c r="J97" s="284"/>
      <c r="M97"/>
    </row>
    <row r="98" spans="1:13">
      <c r="A98" s="187"/>
      <c r="B98" s="187" t="s">
        <v>790</v>
      </c>
      <c r="C98" s="345">
        <v>45763</v>
      </c>
      <c r="D98" s="187">
        <v>42025</v>
      </c>
      <c r="E98" s="187" t="s">
        <v>800</v>
      </c>
      <c r="F98" s="187" t="s">
        <v>792</v>
      </c>
      <c r="G98" s="187"/>
      <c r="H98" s="187" t="s">
        <v>793</v>
      </c>
      <c r="I98" s="284">
        <v>25</v>
      </c>
      <c r="J98" s="284"/>
      <c r="M98"/>
    </row>
    <row r="99" spans="1:13">
      <c r="A99" s="187"/>
      <c r="B99" s="187" t="s">
        <v>790</v>
      </c>
      <c r="C99" s="345">
        <v>45763</v>
      </c>
      <c r="D99" s="187">
        <v>42025</v>
      </c>
      <c r="E99" s="187" t="s">
        <v>800</v>
      </c>
      <c r="F99" s="187" t="s">
        <v>792</v>
      </c>
      <c r="G99" s="187"/>
      <c r="H99" s="187" t="s">
        <v>793</v>
      </c>
      <c r="I99" s="284">
        <v>25</v>
      </c>
      <c r="J99" s="284"/>
      <c r="M99"/>
    </row>
    <row r="100" spans="1:13">
      <c r="A100" s="187"/>
      <c r="B100" s="187" t="s">
        <v>790</v>
      </c>
      <c r="C100" s="345">
        <v>45778</v>
      </c>
      <c r="D100" s="187">
        <v>52025</v>
      </c>
      <c r="E100" s="187" t="s">
        <v>800</v>
      </c>
      <c r="F100" s="187" t="s">
        <v>792</v>
      </c>
      <c r="G100" s="187"/>
      <c r="H100" s="187" t="s">
        <v>793</v>
      </c>
      <c r="I100" s="284">
        <v>25</v>
      </c>
      <c r="J100" s="284"/>
      <c r="M100"/>
    </row>
    <row r="101" spans="1:13">
      <c r="A101" s="187"/>
      <c r="B101" s="187" t="s">
        <v>790</v>
      </c>
      <c r="C101" s="345">
        <v>45778</v>
      </c>
      <c r="D101" s="187">
        <v>52025</v>
      </c>
      <c r="E101" s="187" t="s">
        <v>800</v>
      </c>
      <c r="F101" s="187" t="s">
        <v>792</v>
      </c>
      <c r="G101" s="187"/>
      <c r="H101" s="187" t="s">
        <v>793</v>
      </c>
      <c r="I101" s="284">
        <v>25</v>
      </c>
      <c r="J101" s="284"/>
      <c r="M101"/>
    </row>
    <row r="102" spans="1:13">
      <c r="A102" s="187"/>
      <c r="B102" s="187" t="s">
        <v>790</v>
      </c>
      <c r="C102" s="345">
        <v>45778</v>
      </c>
      <c r="D102" s="187">
        <v>52025</v>
      </c>
      <c r="E102" s="187" t="s">
        <v>800</v>
      </c>
      <c r="F102" s="187" t="s">
        <v>792</v>
      </c>
      <c r="G102" s="187"/>
      <c r="H102" s="187" t="s">
        <v>793</v>
      </c>
      <c r="I102" s="284">
        <v>25</v>
      </c>
      <c r="J102" s="284"/>
      <c r="M102"/>
    </row>
    <row r="103" spans="1:13">
      <c r="A103" s="187"/>
      <c r="B103" s="187" t="s">
        <v>790</v>
      </c>
      <c r="C103" s="345">
        <v>45778</v>
      </c>
      <c r="D103" s="187">
        <v>52025</v>
      </c>
      <c r="E103" s="187" t="s">
        <v>800</v>
      </c>
      <c r="F103" s="187" t="s">
        <v>792</v>
      </c>
      <c r="G103" s="187"/>
      <c r="H103" s="187" t="s">
        <v>793</v>
      </c>
      <c r="I103" s="284">
        <v>25</v>
      </c>
      <c r="J103" s="284"/>
      <c r="M103"/>
    </row>
    <row r="104" spans="1:13">
      <c r="A104" s="187"/>
      <c r="B104" s="187" t="s">
        <v>790</v>
      </c>
      <c r="C104" s="345">
        <v>45778</v>
      </c>
      <c r="D104" s="187">
        <v>52025</v>
      </c>
      <c r="E104" s="187" t="s">
        <v>800</v>
      </c>
      <c r="F104" s="187" t="s">
        <v>792</v>
      </c>
      <c r="G104" s="187"/>
      <c r="H104" s="187" t="s">
        <v>793</v>
      </c>
      <c r="I104" s="284">
        <v>25</v>
      </c>
      <c r="J104" s="284"/>
      <c r="M104"/>
    </row>
    <row r="105" spans="1:13">
      <c r="A105" s="187"/>
      <c r="B105" s="187" t="s">
        <v>790</v>
      </c>
      <c r="C105" s="345">
        <v>45778</v>
      </c>
      <c r="D105" s="187">
        <v>52025</v>
      </c>
      <c r="E105" s="187" t="s">
        <v>800</v>
      </c>
      <c r="F105" s="187" t="s">
        <v>792</v>
      </c>
      <c r="G105" s="187"/>
      <c r="H105" s="187" t="s">
        <v>793</v>
      </c>
      <c r="I105" s="284">
        <v>25</v>
      </c>
      <c r="J105" s="284"/>
      <c r="M105"/>
    </row>
    <row r="106" spans="1:13">
      <c r="A106" s="187"/>
      <c r="B106" s="187" t="s">
        <v>790</v>
      </c>
      <c r="C106" s="345">
        <v>45778</v>
      </c>
      <c r="D106" s="187">
        <v>52025</v>
      </c>
      <c r="E106" s="187" t="s">
        <v>800</v>
      </c>
      <c r="F106" s="187" t="s">
        <v>792</v>
      </c>
      <c r="G106" s="187"/>
      <c r="H106" s="187" t="s">
        <v>793</v>
      </c>
      <c r="I106" s="284">
        <v>25</v>
      </c>
      <c r="J106" s="284"/>
      <c r="M106"/>
    </row>
    <row r="107" spans="1:13">
      <c r="A107" s="187"/>
      <c r="B107" s="187" t="s">
        <v>790</v>
      </c>
      <c r="C107" s="345">
        <v>45778</v>
      </c>
      <c r="D107" s="187">
        <v>52025</v>
      </c>
      <c r="E107" s="187" t="s">
        <v>800</v>
      </c>
      <c r="F107" s="187" t="s">
        <v>792</v>
      </c>
      <c r="G107" s="187"/>
      <c r="H107" s="187" t="s">
        <v>793</v>
      </c>
      <c r="I107" s="284">
        <v>25</v>
      </c>
      <c r="J107" s="284"/>
      <c r="M107"/>
    </row>
    <row r="108" spans="1:13">
      <c r="A108" s="187"/>
      <c r="B108" s="187" t="s">
        <v>790</v>
      </c>
      <c r="C108" s="345">
        <v>45778</v>
      </c>
      <c r="D108" s="187">
        <v>52025</v>
      </c>
      <c r="E108" s="187" t="s">
        <v>800</v>
      </c>
      <c r="F108" s="187" t="s">
        <v>792</v>
      </c>
      <c r="G108" s="187"/>
      <c r="H108" s="187" t="s">
        <v>793</v>
      </c>
      <c r="I108" s="284">
        <v>25</v>
      </c>
      <c r="J108" s="284"/>
      <c r="M108"/>
    </row>
    <row r="109" spans="1:13">
      <c r="A109" s="187"/>
      <c r="B109" s="187" t="s">
        <v>790</v>
      </c>
      <c r="C109" s="345">
        <v>45783</v>
      </c>
      <c r="D109" s="187">
        <v>52025</v>
      </c>
      <c r="E109" s="187" t="s">
        <v>800</v>
      </c>
      <c r="F109" s="187" t="s">
        <v>792</v>
      </c>
      <c r="G109" s="187"/>
      <c r="H109" s="187" t="s">
        <v>793</v>
      </c>
      <c r="I109" s="284">
        <v>25</v>
      </c>
      <c r="J109" s="284"/>
      <c r="M109"/>
    </row>
    <row r="110" spans="1:13">
      <c r="A110" s="187"/>
      <c r="B110" s="187" t="s">
        <v>790</v>
      </c>
      <c r="C110" s="345">
        <v>45784</v>
      </c>
      <c r="D110" s="187">
        <v>52025</v>
      </c>
      <c r="E110" s="187" t="s">
        <v>800</v>
      </c>
      <c r="F110" s="187" t="s">
        <v>792</v>
      </c>
      <c r="G110" s="187"/>
      <c r="H110" s="187" t="s">
        <v>793</v>
      </c>
      <c r="I110" s="284">
        <v>25</v>
      </c>
      <c r="J110" s="284"/>
      <c r="M110"/>
    </row>
    <row r="111" spans="1:13">
      <c r="A111" s="187"/>
      <c r="B111" s="187" t="s">
        <v>790</v>
      </c>
      <c r="C111" s="345">
        <v>45784</v>
      </c>
      <c r="D111" s="187">
        <v>52025</v>
      </c>
      <c r="E111" s="187" t="s">
        <v>800</v>
      </c>
      <c r="F111" s="187" t="s">
        <v>792</v>
      </c>
      <c r="G111" s="187"/>
      <c r="H111" s="187" t="s">
        <v>793</v>
      </c>
      <c r="I111" s="284">
        <v>25</v>
      </c>
      <c r="J111" s="284"/>
      <c r="M111"/>
    </row>
    <row r="112" spans="1:13">
      <c r="A112" s="187"/>
      <c r="B112" s="187" t="s">
        <v>790</v>
      </c>
      <c r="C112" s="345">
        <v>45785</v>
      </c>
      <c r="D112" s="187">
        <v>52025</v>
      </c>
      <c r="E112" s="187" t="s">
        <v>800</v>
      </c>
      <c r="F112" s="187" t="s">
        <v>792</v>
      </c>
      <c r="G112" s="187"/>
      <c r="H112" s="187" t="s">
        <v>793</v>
      </c>
      <c r="I112" s="284">
        <v>25</v>
      </c>
      <c r="J112" s="284"/>
      <c r="M112"/>
    </row>
    <row r="113" spans="1:13">
      <c r="A113" s="187"/>
      <c r="B113" s="187" t="s">
        <v>790</v>
      </c>
      <c r="C113" s="345">
        <v>45785</v>
      </c>
      <c r="D113" s="187">
        <v>52025</v>
      </c>
      <c r="E113" s="187" t="s">
        <v>800</v>
      </c>
      <c r="F113" s="187" t="s">
        <v>792</v>
      </c>
      <c r="G113" s="187"/>
      <c r="H113" s="187" t="s">
        <v>793</v>
      </c>
      <c r="I113" s="284">
        <v>25</v>
      </c>
      <c r="J113" s="284"/>
      <c r="M113"/>
    </row>
    <row r="114" spans="1:13">
      <c r="A114" s="187"/>
      <c r="B114" s="187" t="s">
        <v>790</v>
      </c>
      <c r="C114" s="345">
        <v>45785</v>
      </c>
      <c r="D114" s="187">
        <v>52025</v>
      </c>
      <c r="E114" s="187" t="s">
        <v>800</v>
      </c>
      <c r="F114" s="187" t="s">
        <v>792</v>
      </c>
      <c r="G114" s="187"/>
      <c r="H114" s="187" t="s">
        <v>793</v>
      </c>
      <c r="I114" s="284">
        <v>25</v>
      </c>
      <c r="J114" s="284"/>
      <c r="M114"/>
    </row>
    <row r="115" spans="1:13">
      <c r="A115" s="187"/>
      <c r="B115" s="187" t="s">
        <v>790</v>
      </c>
      <c r="C115" s="345">
        <v>45787</v>
      </c>
      <c r="D115" s="187">
        <v>52025</v>
      </c>
      <c r="E115" s="187" t="s">
        <v>800</v>
      </c>
      <c r="F115" s="187" t="s">
        <v>792</v>
      </c>
      <c r="G115" s="187"/>
      <c r="H115" s="187" t="s">
        <v>793</v>
      </c>
      <c r="I115" s="284">
        <v>25</v>
      </c>
      <c r="J115" s="284"/>
      <c r="M115"/>
    </row>
    <row r="116" spans="1:13">
      <c r="A116" s="187"/>
      <c r="B116" s="187" t="s">
        <v>790</v>
      </c>
      <c r="C116" s="345">
        <v>45787</v>
      </c>
      <c r="D116" s="187">
        <v>52025</v>
      </c>
      <c r="E116" s="187" t="s">
        <v>800</v>
      </c>
      <c r="F116" s="187" t="s">
        <v>792</v>
      </c>
      <c r="G116" s="187"/>
      <c r="H116" s="187" t="s">
        <v>793</v>
      </c>
      <c r="I116" s="284">
        <v>25</v>
      </c>
      <c r="J116" s="284"/>
      <c r="M116"/>
    </row>
    <row r="117" spans="1:13">
      <c r="A117" s="187"/>
      <c r="B117" s="187" t="s">
        <v>790</v>
      </c>
      <c r="C117" s="345">
        <v>45790</v>
      </c>
      <c r="D117" s="187">
        <v>52025</v>
      </c>
      <c r="E117" s="187" t="s">
        <v>800</v>
      </c>
      <c r="F117" s="187" t="s">
        <v>792</v>
      </c>
      <c r="G117" s="187"/>
      <c r="H117" s="187" t="s">
        <v>793</v>
      </c>
      <c r="I117" s="284">
        <v>25</v>
      </c>
      <c r="J117" s="284"/>
      <c r="M117"/>
    </row>
    <row r="118" spans="1:13">
      <c r="A118" s="187"/>
      <c r="B118" s="187" t="s">
        <v>790</v>
      </c>
      <c r="C118" s="345">
        <v>45792</v>
      </c>
      <c r="D118" s="187">
        <v>52025</v>
      </c>
      <c r="E118" s="187" t="s">
        <v>800</v>
      </c>
      <c r="F118" s="187" t="s">
        <v>792</v>
      </c>
      <c r="G118" s="187"/>
      <c r="H118" s="187" t="s">
        <v>793</v>
      </c>
      <c r="I118" s="284">
        <v>25</v>
      </c>
      <c r="J118" s="284"/>
      <c r="M118"/>
    </row>
    <row r="119" spans="1:13">
      <c r="A119" s="187"/>
      <c r="B119" s="187" t="s">
        <v>790</v>
      </c>
      <c r="C119" s="345">
        <v>45794</v>
      </c>
      <c r="D119" s="187">
        <v>52025</v>
      </c>
      <c r="E119" s="187" t="s">
        <v>800</v>
      </c>
      <c r="F119" s="187" t="s">
        <v>792</v>
      </c>
      <c r="G119" s="187"/>
      <c r="H119" s="187" t="s">
        <v>793</v>
      </c>
      <c r="I119" s="284">
        <v>25</v>
      </c>
      <c r="J119" s="284"/>
      <c r="M119"/>
    </row>
    <row r="120" spans="1:13">
      <c r="A120" s="187"/>
      <c r="B120" s="187" t="s">
        <v>790</v>
      </c>
      <c r="C120" s="345">
        <v>45809</v>
      </c>
      <c r="D120" s="187">
        <v>62025</v>
      </c>
      <c r="E120" s="187" t="s">
        <v>800</v>
      </c>
      <c r="F120" s="187" t="s">
        <v>792</v>
      </c>
      <c r="G120" s="187"/>
      <c r="H120" s="187" t="s">
        <v>793</v>
      </c>
      <c r="I120" s="284">
        <v>25</v>
      </c>
      <c r="J120" s="284"/>
      <c r="M120"/>
    </row>
    <row r="121" spans="1:13">
      <c r="A121" s="187"/>
      <c r="B121" s="187" t="s">
        <v>790</v>
      </c>
      <c r="C121" s="345">
        <v>45809</v>
      </c>
      <c r="D121" s="187">
        <v>62025</v>
      </c>
      <c r="E121" s="187" t="s">
        <v>800</v>
      </c>
      <c r="F121" s="187" t="s">
        <v>792</v>
      </c>
      <c r="G121" s="187"/>
      <c r="H121" s="187" t="s">
        <v>793</v>
      </c>
      <c r="I121" s="284">
        <v>25</v>
      </c>
      <c r="J121" s="284"/>
      <c r="M121"/>
    </row>
    <row r="122" spans="1:13">
      <c r="A122" s="187"/>
      <c r="B122" s="187" t="s">
        <v>790</v>
      </c>
      <c r="C122" s="345">
        <v>45809</v>
      </c>
      <c r="D122" s="187">
        <v>62025</v>
      </c>
      <c r="E122" s="187" t="s">
        <v>800</v>
      </c>
      <c r="F122" s="187" t="s">
        <v>792</v>
      </c>
      <c r="G122" s="187"/>
      <c r="H122" s="187" t="s">
        <v>793</v>
      </c>
      <c r="I122" s="284">
        <v>25</v>
      </c>
      <c r="J122" s="284"/>
      <c r="M122"/>
    </row>
    <row r="123" spans="1:13">
      <c r="A123" s="187"/>
      <c r="B123" s="187" t="s">
        <v>790</v>
      </c>
      <c r="C123" s="345">
        <v>45809</v>
      </c>
      <c r="D123" s="187">
        <v>62025</v>
      </c>
      <c r="E123" s="187" t="s">
        <v>800</v>
      </c>
      <c r="F123" s="187" t="s">
        <v>792</v>
      </c>
      <c r="G123" s="187"/>
      <c r="H123" s="187" t="s">
        <v>793</v>
      </c>
      <c r="I123" s="284">
        <v>25</v>
      </c>
      <c r="J123" s="284"/>
      <c r="M123"/>
    </row>
    <row r="124" spans="1:13">
      <c r="A124" s="187"/>
      <c r="B124" s="187" t="s">
        <v>790</v>
      </c>
      <c r="C124" s="345">
        <v>45809</v>
      </c>
      <c r="D124" s="187">
        <v>62025</v>
      </c>
      <c r="E124" s="187" t="s">
        <v>800</v>
      </c>
      <c r="F124" s="187" t="s">
        <v>792</v>
      </c>
      <c r="G124" s="187"/>
      <c r="H124" s="187" t="s">
        <v>793</v>
      </c>
      <c r="I124" s="284">
        <v>25</v>
      </c>
      <c r="J124" s="284"/>
      <c r="M124"/>
    </row>
    <row r="125" spans="1:13">
      <c r="A125" s="187"/>
      <c r="B125" s="187" t="s">
        <v>790</v>
      </c>
      <c r="C125" s="345">
        <v>45809</v>
      </c>
      <c r="D125" s="187">
        <v>62025</v>
      </c>
      <c r="E125" s="187" t="s">
        <v>800</v>
      </c>
      <c r="F125" s="187" t="s">
        <v>792</v>
      </c>
      <c r="G125" s="187"/>
      <c r="H125" s="187" t="s">
        <v>793</v>
      </c>
      <c r="I125" s="284">
        <v>25</v>
      </c>
      <c r="J125" s="284"/>
      <c r="M125"/>
    </row>
    <row r="126" spans="1:13">
      <c r="A126" s="187"/>
      <c r="B126" s="187" t="s">
        <v>790</v>
      </c>
      <c r="C126" s="345">
        <v>45817</v>
      </c>
      <c r="D126" s="187">
        <v>62025</v>
      </c>
      <c r="E126" s="187" t="s">
        <v>800</v>
      </c>
      <c r="F126" s="187" t="s">
        <v>792</v>
      </c>
      <c r="G126" s="187"/>
      <c r="H126" s="187" t="s">
        <v>793</v>
      </c>
      <c r="I126" s="284">
        <v>25</v>
      </c>
      <c r="J126" s="284"/>
      <c r="M126"/>
    </row>
    <row r="127" spans="1:13">
      <c r="A127" s="187"/>
      <c r="B127" s="187" t="s">
        <v>790</v>
      </c>
      <c r="C127" s="345">
        <v>45821</v>
      </c>
      <c r="D127" s="187">
        <v>62025</v>
      </c>
      <c r="E127" s="187" t="s">
        <v>800</v>
      </c>
      <c r="F127" s="187" t="s">
        <v>792</v>
      </c>
      <c r="G127" s="187"/>
      <c r="H127" s="187" t="s">
        <v>793</v>
      </c>
      <c r="I127" s="284">
        <v>25</v>
      </c>
      <c r="J127" s="284"/>
      <c r="M127"/>
    </row>
    <row r="128" spans="1:13">
      <c r="A128" s="187"/>
      <c r="B128" s="187" t="s">
        <v>790</v>
      </c>
      <c r="C128" s="345">
        <v>45824</v>
      </c>
      <c r="D128" s="187">
        <v>62025</v>
      </c>
      <c r="E128" s="187" t="s">
        <v>800</v>
      </c>
      <c r="F128" s="187" t="s">
        <v>792</v>
      </c>
      <c r="G128" s="187"/>
      <c r="H128" s="187" t="s">
        <v>793</v>
      </c>
      <c r="I128" s="284">
        <v>25</v>
      </c>
      <c r="J128" s="284"/>
      <c r="M128"/>
    </row>
    <row r="129" spans="1:13">
      <c r="A129" s="187"/>
      <c r="B129" s="187" t="s">
        <v>790</v>
      </c>
      <c r="C129" s="345">
        <v>45824</v>
      </c>
      <c r="D129" s="187">
        <v>62025</v>
      </c>
      <c r="E129" s="187" t="s">
        <v>800</v>
      </c>
      <c r="F129" s="187" t="s">
        <v>792</v>
      </c>
      <c r="G129" s="187"/>
      <c r="H129" s="187" t="s">
        <v>793</v>
      </c>
      <c r="I129" s="284">
        <v>25</v>
      </c>
      <c r="J129" s="284"/>
      <c r="M129"/>
    </row>
    <row r="130" spans="1:13">
      <c r="A130" s="187"/>
      <c r="B130" s="187" t="s">
        <v>790</v>
      </c>
      <c r="C130" s="345">
        <v>45825</v>
      </c>
      <c r="D130" s="187">
        <v>62025</v>
      </c>
      <c r="E130" s="187" t="s">
        <v>800</v>
      </c>
      <c r="F130" s="187" t="s">
        <v>792</v>
      </c>
      <c r="G130" s="187"/>
      <c r="H130" s="187" t="s">
        <v>793</v>
      </c>
      <c r="I130" s="284">
        <v>25</v>
      </c>
      <c r="J130" s="284"/>
      <c r="M130"/>
    </row>
    <row r="131" spans="1:13">
      <c r="A131" s="187"/>
      <c r="B131" s="187" t="s">
        <v>790</v>
      </c>
      <c r="C131" s="345">
        <v>45839</v>
      </c>
      <c r="D131" s="187">
        <v>72025</v>
      </c>
      <c r="E131" s="187" t="s">
        <v>800</v>
      </c>
      <c r="F131" s="187" t="s">
        <v>792</v>
      </c>
      <c r="G131" s="187"/>
      <c r="H131" s="187" t="s">
        <v>793</v>
      </c>
      <c r="I131" s="284">
        <v>25</v>
      </c>
      <c r="J131" s="284"/>
      <c r="M131"/>
    </row>
    <row r="132" spans="1:13">
      <c r="A132" s="187"/>
      <c r="B132" s="187" t="s">
        <v>790</v>
      </c>
      <c r="C132" s="345">
        <v>45839</v>
      </c>
      <c r="D132" s="187">
        <v>72025</v>
      </c>
      <c r="E132" s="187" t="s">
        <v>800</v>
      </c>
      <c r="F132" s="187" t="s">
        <v>792</v>
      </c>
      <c r="G132" s="187"/>
      <c r="H132" s="187" t="s">
        <v>793</v>
      </c>
      <c r="I132" s="284">
        <v>25</v>
      </c>
      <c r="J132" s="284"/>
      <c r="M132"/>
    </row>
    <row r="133" spans="1:13">
      <c r="A133" s="187"/>
      <c r="B133" s="187" t="s">
        <v>790</v>
      </c>
      <c r="C133" s="345">
        <v>45845</v>
      </c>
      <c r="D133" s="187">
        <v>72025</v>
      </c>
      <c r="E133" s="187" t="s">
        <v>800</v>
      </c>
      <c r="F133" s="187" t="s">
        <v>792</v>
      </c>
      <c r="G133" s="187"/>
      <c r="H133" s="187" t="s">
        <v>793</v>
      </c>
      <c r="I133" s="284">
        <v>25</v>
      </c>
      <c r="J133" s="284"/>
      <c r="M133"/>
    </row>
    <row r="134" spans="1:13">
      <c r="A134" s="187"/>
      <c r="B134" s="187" t="s">
        <v>790</v>
      </c>
      <c r="C134" s="345">
        <v>45845</v>
      </c>
      <c r="D134" s="187">
        <v>72025</v>
      </c>
      <c r="E134" s="187" t="s">
        <v>800</v>
      </c>
      <c r="F134" s="187" t="s">
        <v>792</v>
      </c>
      <c r="G134" s="187"/>
      <c r="H134" s="187" t="s">
        <v>793</v>
      </c>
      <c r="I134" s="284">
        <v>25</v>
      </c>
      <c r="J134" s="284"/>
      <c r="M134"/>
    </row>
    <row r="135" spans="1:13">
      <c r="A135" s="187"/>
      <c r="B135" s="187" t="s">
        <v>790</v>
      </c>
      <c r="C135" s="345">
        <v>45845</v>
      </c>
      <c r="D135" s="187">
        <v>72025</v>
      </c>
      <c r="E135" s="187" t="s">
        <v>800</v>
      </c>
      <c r="F135" s="187" t="s">
        <v>792</v>
      </c>
      <c r="G135" s="187"/>
      <c r="H135" s="187" t="s">
        <v>793</v>
      </c>
      <c r="I135" s="284">
        <v>25</v>
      </c>
      <c r="J135" s="284"/>
      <c r="M135"/>
    </row>
    <row r="136" spans="1:13">
      <c r="A136" s="187"/>
      <c r="B136" s="187" t="s">
        <v>790</v>
      </c>
      <c r="C136" s="345">
        <v>45845</v>
      </c>
      <c r="D136" s="187">
        <v>72025</v>
      </c>
      <c r="E136" s="187" t="s">
        <v>800</v>
      </c>
      <c r="F136" s="187" t="s">
        <v>792</v>
      </c>
      <c r="G136" s="187"/>
      <c r="H136" s="187" t="s">
        <v>793</v>
      </c>
      <c r="I136" s="284">
        <v>25</v>
      </c>
      <c r="J136" s="284"/>
      <c r="M136"/>
    </row>
    <row r="137" spans="1:13">
      <c r="A137" s="187"/>
      <c r="B137" s="187" t="s">
        <v>790</v>
      </c>
      <c r="C137" s="345">
        <v>45847</v>
      </c>
      <c r="D137" s="187">
        <v>72025</v>
      </c>
      <c r="E137" s="187" t="s">
        <v>800</v>
      </c>
      <c r="F137" s="187" t="s">
        <v>792</v>
      </c>
      <c r="G137" s="187"/>
      <c r="H137" s="187" t="s">
        <v>793</v>
      </c>
      <c r="I137" s="284">
        <v>25</v>
      </c>
      <c r="J137" s="284"/>
      <c r="M137"/>
    </row>
    <row r="138" spans="1:13">
      <c r="A138" s="187"/>
      <c r="B138" s="187" t="s">
        <v>790</v>
      </c>
      <c r="C138" s="345">
        <v>45847</v>
      </c>
      <c r="D138" s="187">
        <v>72025</v>
      </c>
      <c r="E138" s="187" t="s">
        <v>800</v>
      </c>
      <c r="F138" s="187" t="s">
        <v>792</v>
      </c>
      <c r="G138" s="187"/>
      <c r="H138" s="187" t="s">
        <v>793</v>
      </c>
      <c r="I138" s="284">
        <v>25</v>
      </c>
      <c r="J138" s="284"/>
      <c r="M138"/>
    </row>
    <row r="139" spans="1:13">
      <c r="A139" s="187"/>
      <c r="B139" s="187" t="s">
        <v>790</v>
      </c>
      <c r="C139" s="345">
        <v>45852</v>
      </c>
      <c r="D139" s="187">
        <v>72025</v>
      </c>
      <c r="E139" s="187" t="s">
        <v>800</v>
      </c>
      <c r="F139" s="187" t="s">
        <v>792</v>
      </c>
      <c r="G139" s="187"/>
      <c r="H139" s="187" t="s">
        <v>793</v>
      </c>
      <c r="I139" s="284">
        <v>25</v>
      </c>
      <c r="J139" s="284"/>
      <c r="M139"/>
    </row>
    <row r="140" spans="1:13">
      <c r="A140" s="187"/>
      <c r="B140" s="187" t="s">
        <v>790</v>
      </c>
      <c r="C140" s="345">
        <v>45853</v>
      </c>
      <c r="D140" s="187">
        <v>72025</v>
      </c>
      <c r="E140" s="187" t="s">
        <v>800</v>
      </c>
      <c r="F140" s="187" t="s">
        <v>792</v>
      </c>
      <c r="G140" s="187"/>
      <c r="H140" s="187" t="s">
        <v>793</v>
      </c>
      <c r="I140" s="284">
        <v>25</v>
      </c>
      <c r="J140" s="284"/>
      <c r="M140"/>
    </row>
    <row r="141" spans="1:13">
      <c r="A141" s="187"/>
      <c r="B141" s="187" t="s">
        <v>790</v>
      </c>
      <c r="C141" s="345">
        <v>45870</v>
      </c>
      <c r="D141" s="187">
        <v>82025</v>
      </c>
      <c r="E141" s="187" t="s">
        <v>800</v>
      </c>
      <c r="F141" s="187" t="s">
        <v>792</v>
      </c>
      <c r="G141" s="187"/>
      <c r="H141" s="187" t="s">
        <v>793</v>
      </c>
      <c r="I141" s="284">
        <v>25</v>
      </c>
      <c r="J141" s="284"/>
      <c r="M141"/>
    </row>
    <row r="142" spans="1:13">
      <c r="A142" s="187"/>
      <c r="B142" s="187" t="s">
        <v>790</v>
      </c>
      <c r="C142" s="345">
        <v>45870</v>
      </c>
      <c r="D142" s="187">
        <v>82025</v>
      </c>
      <c r="E142" s="187" t="s">
        <v>800</v>
      </c>
      <c r="F142" s="187" t="s">
        <v>792</v>
      </c>
      <c r="G142" s="187"/>
      <c r="H142" s="187" t="s">
        <v>793</v>
      </c>
      <c r="I142" s="284">
        <v>25</v>
      </c>
      <c r="J142" s="284"/>
      <c r="M142"/>
    </row>
    <row r="143" spans="1:13">
      <c r="A143" s="187"/>
      <c r="B143" s="187" t="s">
        <v>790</v>
      </c>
      <c r="C143" s="345">
        <v>45870</v>
      </c>
      <c r="D143" s="187">
        <v>82025</v>
      </c>
      <c r="E143" s="187" t="s">
        <v>800</v>
      </c>
      <c r="F143" s="187" t="s">
        <v>792</v>
      </c>
      <c r="G143" s="187"/>
      <c r="H143" s="187" t="s">
        <v>793</v>
      </c>
      <c r="I143" s="284">
        <v>25</v>
      </c>
      <c r="J143" s="284"/>
      <c r="M143"/>
    </row>
    <row r="144" spans="1:13">
      <c r="A144" s="187"/>
      <c r="B144" s="187" t="s">
        <v>790</v>
      </c>
      <c r="C144" s="345">
        <v>45874</v>
      </c>
      <c r="D144" s="187">
        <v>82025</v>
      </c>
      <c r="E144" s="187" t="s">
        <v>800</v>
      </c>
      <c r="F144" s="187" t="s">
        <v>792</v>
      </c>
      <c r="G144" s="187"/>
      <c r="H144" s="187" t="s">
        <v>793</v>
      </c>
      <c r="I144" s="284">
        <v>25</v>
      </c>
      <c r="J144" s="284"/>
      <c r="M144"/>
    </row>
    <row r="145" spans="1:13">
      <c r="A145" s="187"/>
      <c r="B145" s="187" t="s">
        <v>790</v>
      </c>
      <c r="C145" s="345">
        <v>45874</v>
      </c>
      <c r="D145" s="187">
        <v>82025</v>
      </c>
      <c r="E145" s="187" t="s">
        <v>800</v>
      </c>
      <c r="F145" s="187" t="s">
        <v>792</v>
      </c>
      <c r="G145" s="187"/>
      <c r="H145" s="187" t="s">
        <v>793</v>
      </c>
      <c r="I145" s="284">
        <v>25</v>
      </c>
      <c r="J145" s="284"/>
      <c r="M145"/>
    </row>
    <row r="146" spans="1:13">
      <c r="A146" s="187"/>
      <c r="B146" s="187" t="s">
        <v>790</v>
      </c>
      <c r="C146" s="345">
        <v>45880</v>
      </c>
      <c r="D146" s="187">
        <v>82025</v>
      </c>
      <c r="E146" s="187" t="s">
        <v>800</v>
      </c>
      <c r="F146" s="187" t="s">
        <v>792</v>
      </c>
      <c r="G146" s="187"/>
      <c r="H146" s="187" t="s">
        <v>793</v>
      </c>
      <c r="I146" s="284">
        <v>25</v>
      </c>
      <c r="J146" s="284"/>
      <c r="M146"/>
    </row>
    <row r="147" spans="1:13">
      <c r="A147" s="187"/>
      <c r="B147" s="187" t="s">
        <v>790</v>
      </c>
      <c r="C147" s="345">
        <v>45880</v>
      </c>
      <c r="D147" s="187">
        <v>82025</v>
      </c>
      <c r="E147" s="187" t="s">
        <v>800</v>
      </c>
      <c r="F147" s="187" t="s">
        <v>792</v>
      </c>
      <c r="G147" s="187"/>
      <c r="H147" s="187" t="s">
        <v>793</v>
      </c>
      <c r="I147" s="284">
        <v>25</v>
      </c>
      <c r="J147" s="284"/>
      <c r="M147"/>
    </row>
    <row r="148" spans="1:13">
      <c r="A148" s="187"/>
      <c r="B148" s="187" t="s">
        <v>790</v>
      </c>
      <c r="C148" s="345">
        <v>45882</v>
      </c>
      <c r="D148" s="187">
        <v>82025</v>
      </c>
      <c r="E148" s="187" t="s">
        <v>800</v>
      </c>
      <c r="F148" s="187" t="s">
        <v>792</v>
      </c>
      <c r="G148" s="187"/>
      <c r="H148" s="187" t="s">
        <v>793</v>
      </c>
      <c r="I148" s="284">
        <v>25</v>
      </c>
      <c r="J148" s="284"/>
      <c r="M148"/>
    </row>
    <row r="149" spans="1:13">
      <c r="A149" s="187"/>
      <c r="B149" s="187" t="s">
        <v>790</v>
      </c>
      <c r="C149" s="345">
        <v>45882</v>
      </c>
      <c r="D149" s="187">
        <v>82025</v>
      </c>
      <c r="E149" s="187" t="s">
        <v>800</v>
      </c>
      <c r="F149" s="187" t="s">
        <v>792</v>
      </c>
      <c r="G149" s="187"/>
      <c r="H149" s="187" t="s">
        <v>793</v>
      </c>
      <c r="I149" s="284">
        <v>25</v>
      </c>
      <c r="J149" s="284"/>
      <c r="M149"/>
    </row>
    <row r="150" spans="1:13">
      <c r="A150" s="187"/>
      <c r="B150" s="187" t="s">
        <v>790</v>
      </c>
      <c r="C150" s="345">
        <v>45882</v>
      </c>
      <c r="D150" s="187">
        <v>82025</v>
      </c>
      <c r="E150" s="187" t="s">
        <v>800</v>
      </c>
      <c r="F150" s="187" t="s">
        <v>792</v>
      </c>
      <c r="G150" s="187"/>
      <c r="H150" s="187" t="s">
        <v>793</v>
      </c>
      <c r="I150" s="284">
        <v>25</v>
      </c>
      <c r="J150" s="284"/>
      <c r="M150"/>
    </row>
    <row r="151" spans="1:13">
      <c r="A151" s="187"/>
      <c r="B151" s="187" t="s">
        <v>790</v>
      </c>
      <c r="C151" s="345">
        <v>45882</v>
      </c>
      <c r="D151" s="187">
        <v>82025</v>
      </c>
      <c r="E151" s="187" t="s">
        <v>800</v>
      </c>
      <c r="F151" s="187" t="s">
        <v>792</v>
      </c>
      <c r="G151" s="187"/>
      <c r="H151" s="187" t="s">
        <v>793</v>
      </c>
      <c r="I151" s="284">
        <v>25</v>
      </c>
      <c r="J151" s="284"/>
      <c r="M151"/>
    </row>
    <row r="152" spans="1:13">
      <c r="A152" s="187"/>
      <c r="B152" s="187" t="s">
        <v>790</v>
      </c>
      <c r="C152" s="345">
        <v>45882</v>
      </c>
      <c r="D152" s="187">
        <v>82025</v>
      </c>
      <c r="E152" s="187" t="s">
        <v>800</v>
      </c>
      <c r="F152" s="187" t="s">
        <v>792</v>
      </c>
      <c r="G152" s="187"/>
      <c r="H152" s="187" t="s">
        <v>793</v>
      </c>
      <c r="I152" s="284">
        <v>25</v>
      </c>
      <c r="J152" s="284"/>
      <c r="M152"/>
    </row>
    <row r="153" spans="1:13">
      <c r="A153" s="187"/>
      <c r="B153" s="187" t="s">
        <v>790</v>
      </c>
      <c r="C153" s="345">
        <v>45884</v>
      </c>
      <c r="D153" s="187">
        <v>82025</v>
      </c>
      <c r="E153" s="187" t="s">
        <v>800</v>
      </c>
      <c r="F153" s="187" t="s">
        <v>792</v>
      </c>
      <c r="G153" s="187"/>
      <c r="H153" s="187" t="s">
        <v>793</v>
      </c>
      <c r="I153" s="284">
        <v>25</v>
      </c>
      <c r="J153" s="284"/>
      <c r="M153"/>
    </row>
    <row r="154" spans="1:13">
      <c r="A154" s="187"/>
      <c r="B154" s="187" t="s">
        <v>790</v>
      </c>
      <c r="C154" s="345">
        <v>45884</v>
      </c>
      <c r="D154" s="187">
        <v>82025</v>
      </c>
      <c r="E154" s="187" t="s">
        <v>800</v>
      </c>
      <c r="F154" s="187" t="s">
        <v>792</v>
      </c>
      <c r="G154" s="187"/>
      <c r="H154" s="187" t="s">
        <v>793</v>
      </c>
      <c r="I154" s="284">
        <v>25</v>
      </c>
      <c r="J154" s="284"/>
      <c r="M154"/>
    </row>
    <row r="155" spans="1:13">
      <c r="A155" s="187"/>
      <c r="B155" s="187" t="s">
        <v>790</v>
      </c>
      <c r="C155" s="345">
        <v>45888</v>
      </c>
      <c r="D155" s="187">
        <v>82025</v>
      </c>
      <c r="E155" s="187" t="s">
        <v>800</v>
      </c>
      <c r="F155" s="187" t="s">
        <v>792</v>
      </c>
      <c r="G155" s="187"/>
      <c r="H155" s="187" t="s">
        <v>793</v>
      </c>
      <c r="I155" s="284">
        <v>25</v>
      </c>
      <c r="J155" s="284"/>
      <c r="M155"/>
    </row>
    <row r="156" spans="1:13">
      <c r="A156" s="187"/>
      <c r="B156" s="187" t="s">
        <v>790</v>
      </c>
      <c r="C156" s="345">
        <v>45901</v>
      </c>
      <c r="D156" s="187">
        <v>92025</v>
      </c>
      <c r="E156" s="187" t="s">
        <v>800</v>
      </c>
      <c r="F156" s="187" t="s">
        <v>792</v>
      </c>
      <c r="G156" s="187"/>
      <c r="H156" s="187" t="s">
        <v>793</v>
      </c>
      <c r="I156" s="284">
        <v>25</v>
      </c>
      <c r="J156" s="284"/>
      <c r="M156"/>
    </row>
    <row r="157" spans="1:13">
      <c r="A157" s="187"/>
      <c r="B157" s="187" t="s">
        <v>790</v>
      </c>
      <c r="C157" s="345">
        <v>45915</v>
      </c>
      <c r="D157" s="187">
        <v>92025</v>
      </c>
      <c r="E157" s="187" t="s">
        <v>800</v>
      </c>
      <c r="F157" s="187" t="s">
        <v>792</v>
      </c>
      <c r="G157" s="187"/>
      <c r="H157" s="187" t="s">
        <v>793</v>
      </c>
      <c r="I157" s="284">
        <v>25</v>
      </c>
      <c r="J157" s="284"/>
      <c r="M157"/>
    </row>
    <row r="158" spans="1:13">
      <c r="A158" s="187"/>
      <c r="B158" s="187" t="s">
        <v>790</v>
      </c>
      <c r="C158" s="345">
        <v>45915</v>
      </c>
      <c r="D158" s="187">
        <v>92025</v>
      </c>
      <c r="E158" s="187" t="s">
        <v>800</v>
      </c>
      <c r="F158" s="187" t="s">
        <v>792</v>
      </c>
      <c r="G158" s="187"/>
      <c r="H158" s="187" t="s">
        <v>793</v>
      </c>
      <c r="I158" s="284">
        <v>25</v>
      </c>
      <c r="J158" s="284"/>
      <c r="M158"/>
    </row>
    <row r="159" spans="1:13">
      <c r="A159" s="187"/>
      <c r="B159" s="187" t="s">
        <v>790</v>
      </c>
      <c r="C159" s="345">
        <v>45918</v>
      </c>
      <c r="D159" s="187">
        <v>92025</v>
      </c>
      <c r="E159" s="187" t="s">
        <v>800</v>
      </c>
      <c r="F159" s="187" t="s">
        <v>792</v>
      </c>
      <c r="G159" s="187"/>
      <c r="H159" s="187" t="s">
        <v>793</v>
      </c>
      <c r="I159" s="284">
        <v>25</v>
      </c>
      <c r="J159" s="284"/>
      <c r="M159"/>
    </row>
    <row r="160" spans="1:13">
      <c r="A160" s="187"/>
      <c r="B160" s="187" t="s">
        <v>790</v>
      </c>
      <c r="C160" s="345">
        <v>45918</v>
      </c>
      <c r="D160" s="187">
        <v>92025</v>
      </c>
      <c r="E160" s="187" t="s">
        <v>800</v>
      </c>
      <c r="F160" s="187" t="s">
        <v>792</v>
      </c>
      <c r="G160" s="187"/>
      <c r="H160" s="187" t="s">
        <v>793</v>
      </c>
      <c r="I160" s="284">
        <v>25</v>
      </c>
      <c r="J160" s="284"/>
      <c r="M160"/>
    </row>
    <row r="161" spans="1:13">
      <c r="A161" s="187"/>
      <c r="B161" s="187" t="s">
        <v>790</v>
      </c>
      <c r="C161" s="345">
        <v>45918</v>
      </c>
      <c r="D161" s="187">
        <v>92025</v>
      </c>
      <c r="E161" s="187" t="s">
        <v>800</v>
      </c>
      <c r="F161" s="187" t="s">
        <v>792</v>
      </c>
      <c r="G161" s="187"/>
      <c r="H161" s="187" t="s">
        <v>793</v>
      </c>
      <c r="I161" s="284">
        <v>25</v>
      </c>
      <c r="J161" s="284"/>
      <c r="M161"/>
    </row>
    <row r="162" spans="1:13">
      <c r="A162" s="187"/>
      <c r="B162" s="187"/>
      <c r="C162" s="187"/>
      <c r="D162" s="187"/>
      <c r="E162" s="187"/>
      <c r="F162" s="187"/>
      <c r="G162" s="187"/>
      <c r="H162" s="187"/>
      <c r="I162" s="284">
        <v>2400</v>
      </c>
      <c r="J162" s="284"/>
      <c r="K162" s="123">
        <v>3600</v>
      </c>
      <c r="M162"/>
    </row>
    <row r="163" spans="1:13">
      <c r="A163" s="187"/>
      <c r="B163" s="187" t="s">
        <v>794</v>
      </c>
      <c r="C163" s="345">
        <v>45741</v>
      </c>
      <c r="D163" s="187">
        <v>32525</v>
      </c>
      <c r="E163" s="187" t="s">
        <v>802</v>
      </c>
      <c r="F163" s="187" t="s">
        <v>792</v>
      </c>
      <c r="G163" s="187"/>
      <c r="H163" s="187" t="s">
        <v>796</v>
      </c>
      <c r="I163" s="284">
        <v>63</v>
      </c>
      <c r="J163" s="284"/>
      <c r="M163"/>
    </row>
    <row r="164" spans="1:13">
      <c r="A164" s="187"/>
      <c r="B164" s="187" t="s">
        <v>790</v>
      </c>
      <c r="C164" s="345">
        <v>45658</v>
      </c>
      <c r="D164" s="187">
        <v>12025</v>
      </c>
      <c r="E164" s="187" t="s">
        <v>803</v>
      </c>
      <c r="F164" s="187" t="s">
        <v>792</v>
      </c>
      <c r="G164" s="187"/>
      <c r="H164" s="187" t="s">
        <v>793</v>
      </c>
      <c r="I164" s="284">
        <v>66.5</v>
      </c>
      <c r="J164" s="284"/>
      <c r="M164"/>
    </row>
    <row r="165" spans="1:13">
      <c r="A165" s="187"/>
      <c r="B165" s="187" t="s">
        <v>790</v>
      </c>
      <c r="C165" s="345">
        <v>45689</v>
      </c>
      <c r="D165" s="187">
        <v>22025</v>
      </c>
      <c r="E165" s="187" t="s">
        <v>803</v>
      </c>
      <c r="F165" s="187" t="s">
        <v>792</v>
      </c>
      <c r="G165" s="187"/>
      <c r="H165" s="187" t="s">
        <v>793</v>
      </c>
      <c r="I165" s="284">
        <v>74.5</v>
      </c>
      <c r="J165" s="284"/>
      <c r="M165"/>
    </row>
    <row r="166" spans="1:13">
      <c r="A166" s="187"/>
      <c r="B166" s="187" t="s">
        <v>790</v>
      </c>
      <c r="C166" s="345">
        <v>45720</v>
      </c>
      <c r="D166" s="187">
        <v>32025</v>
      </c>
      <c r="E166" s="187" t="s">
        <v>803</v>
      </c>
      <c r="F166" s="187" t="s">
        <v>792</v>
      </c>
      <c r="G166" s="187"/>
      <c r="H166" s="187" t="s">
        <v>793</v>
      </c>
      <c r="I166" s="284">
        <v>355</v>
      </c>
      <c r="J166" s="284"/>
      <c r="M166"/>
    </row>
    <row r="167" spans="1:13">
      <c r="A167" s="187"/>
      <c r="B167" s="187" t="s">
        <v>790</v>
      </c>
      <c r="C167" s="345">
        <v>45748</v>
      </c>
      <c r="D167" s="187">
        <v>42025</v>
      </c>
      <c r="E167" s="187" t="s">
        <v>803</v>
      </c>
      <c r="F167" s="187" t="s">
        <v>792</v>
      </c>
      <c r="G167" s="187"/>
      <c r="H167" s="187" t="s">
        <v>793</v>
      </c>
      <c r="I167" s="284">
        <v>82.5</v>
      </c>
      <c r="J167" s="284"/>
      <c r="M167"/>
    </row>
    <row r="168" spans="1:13">
      <c r="A168" s="187"/>
      <c r="B168" s="187" t="s">
        <v>790</v>
      </c>
      <c r="C168" s="345">
        <v>45778</v>
      </c>
      <c r="D168" s="187">
        <v>52025</v>
      </c>
      <c r="E168" s="187" t="s">
        <v>803</v>
      </c>
      <c r="F168" s="187" t="s">
        <v>792</v>
      </c>
      <c r="G168" s="187"/>
      <c r="H168" s="187" t="s">
        <v>793</v>
      </c>
      <c r="I168" s="284">
        <v>90.5</v>
      </c>
      <c r="J168" s="284"/>
      <c r="M168"/>
    </row>
    <row r="169" spans="1:13">
      <c r="A169" s="187"/>
      <c r="B169" s="187" t="s">
        <v>790</v>
      </c>
      <c r="C169" s="345">
        <v>45811</v>
      </c>
      <c r="D169" s="187">
        <v>62025</v>
      </c>
      <c r="E169" s="187" t="s">
        <v>803</v>
      </c>
      <c r="F169" s="187" t="s">
        <v>792</v>
      </c>
      <c r="G169" s="187"/>
      <c r="H169" s="187" t="s">
        <v>793</v>
      </c>
      <c r="I169" s="284">
        <v>84.5</v>
      </c>
      <c r="J169" s="284"/>
      <c r="M169"/>
    </row>
    <row r="170" spans="1:13">
      <c r="A170" s="187"/>
      <c r="B170" s="187" t="s">
        <v>790</v>
      </c>
      <c r="C170" s="345">
        <v>45874</v>
      </c>
      <c r="D170" s="187">
        <v>82025</v>
      </c>
      <c r="E170" s="187" t="s">
        <v>803</v>
      </c>
      <c r="F170" s="187" t="s">
        <v>792</v>
      </c>
      <c r="G170" s="187"/>
      <c r="H170" s="187" t="s">
        <v>793</v>
      </c>
      <c r="I170" s="284">
        <v>82.5</v>
      </c>
      <c r="J170" s="284"/>
      <c r="M170"/>
    </row>
    <row r="171" spans="1:13">
      <c r="A171" s="187"/>
      <c r="B171" s="187" t="s">
        <v>790</v>
      </c>
      <c r="C171" s="345">
        <v>45901</v>
      </c>
      <c r="D171" s="187">
        <v>92025</v>
      </c>
      <c r="E171" s="187" t="s">
        <v>803</v>
      </c>
      <c r="F171" s="187" t="s">
        <v>792</v>
      </c>
      <c r="G171" s="187"/>
      <c r="H171" s="187" t="s">
        <v>793</v>
      </c>
      <c r="I171" s="284">
        <v>157</v>
      </c>
      <c r="J171" s="284"/>
      <c r="M171"/>
    </row>
    <row r="172" spans="1:13">
      <c r="A172" s="187"/>
      <c r="B172" s="187" t="s">
        <v>790</v>
      </c>
      <c r="C172" s="345">
        <v>45809</v>
      </c>
      <c r="D172" s="187">
        <v>62025</v>
      </c>
      <c r="E172" s="187" t="s">
        <v>804</v>
      </c>
      <c r="F172" s="187" t="s">
        <v>792</v>
      </c>
      <c r="G172" s="187"/>
      <c r="H172" s="187" t="s">
        <v>793</v>
      </c>
      <c r="I172" s="284">
        <v>63</v>
      </c>
      <c r="J172" s="284"/>
      <c r="M172"/>
    </row>
    <row r="173" spans="1:13">
      <c r="A173" s="192" t="s">
        <v>805</v>
      </c>
      <c r="B173" s="191"/>
      <c r="C173" s="191"/>
      <c r="D173" s="192" t="s">
        <v>84</v>
      </c>
      <c r="E173" s="192" t="s">
        <v>84</v>
      </c>
      <c r="F173" s="192" t="s">
        <v>84</v>
      </c>
      <c r="G173" s="192"/>
      <c r="H173" s="192" t="s">
        <v>84</v>
      </c>
      <c r="I173" s="193">
        <v>7933.87</v>
      </c>
      <c r="J173" s="382"/>
      <c r="M173"/>
    </row>
    <row r="174" spans="1:13">
      <c r="A174" s="192" t="s">
        <v>201</v>
      </c>
      <c r="B174" s="191"/>
      <c r="C174" s="192" t="s">
        <v>84</v>
      </c>
      <c r="D174" s="192" t="s">
        <v>84</v>
      </c>
      <c r="E174" s="192" t="s">
        <v>84</v>
      </c>
      <c r="F174" s="192" t="s">
        <v>84</v>
      </c>
      <c r="G174" s="192"/>
      <c r="H174" s="192" t="s">
        <v>84</v>
      </c>
      <c r="I174" s="193">
        <v>7933.87</v>
      </c>
      <c r="J174" s="382"/>
      <c r="M174"/>
    </row>
    <row r="175" spans="1:13">
      <c r="A175" s="192" t="s">
        <v>226</v>
      </c>
      <c r="B175" s="192" t="s">
        <v>84</v>
      </c>
      <c r="C175" s="192" t="s">
        <v>84</v>
      </c>
      <c r="D175" s="192" t="s">
        <v>84</v>
      </c>
      <c r="E175" s="192" t="s">
        <v>84</v>
      </c>
      <c r="F175" s="192" t="s">
        <v>84</v>
      </c>
      <c r="G175" s="192"/>
      <c r="H175" s="192" t="s">
        <v>84</v>
      </c>
      <c r="I175" s="193">
        <v>7933.87</v>
      </c>
      <c r="J175" s="382"/>
      <c r="M175"/>
    </row>
    <row r="176" spans="1:13">
      <c r="A176" s="194" t="s">
        <v>227</v>
      </c>
      <c r="B176" s="194" t="s">
        <v>84</v>
      </c>
      <c r="C176" s="194" t="s">
        <v>84</v>
      </c>
      <c r="D176" s="194" t="s">
        <v>84</v>
      </c>
      <c r="E176" s="194" t="s">
        <v>84</v>
      </c>
      <c r="F176" s="194" t="s">
        <v>84</v>
      </c>
      <c r="G176" s="194"/>
      <c r="H176" s="194" t="s">
        <v>84</v>
      </c>
      <c r="I176" s="195">
        <v>-7933.87</v>
      </c>
      <c r="J176" s="382"/>
      <c r="M176"/>
    </row>
    <row r="177" spans="1:13">
      <c r="A177" s="194" t="s">
        <v>228</v>
      </c>
      <c r="B177" s="194" t="s">
        <v>84</v>
      </c>
      <c r="C177" s="194" t="s">
        <v>84</v>
      </c>
      <c r="D177" s="194" t="s">
        <v>84</v>
      </c>
      <c r="E177" s="194" t="s">
        <v>84</v>
      </c>
      <c r="F177" s="194" t="s">
        <v>84</v>
      </c>
      <c r="G177" s="194"/>
      <c r="H177" s="194" t="s">
        <v>84</v>
      </c>
      <c r="I177" s="195">
        <v>-7933.87</v>
      </c>
      <c r="J177" s="382"/>
      <c r="M177"/>
    </row>
    <row r="178" spans="1:13">
      <c r="B178"/>
      <c r="M17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2CA35-BF8B-4931-A603-47EDC62605E2}">
  <dimension ref="A1:O259"/>
  <sheetViews>
    <sheetView topLeftCell="A36" workbookViewId="0">
      <selection activeCell="D96" sqref="D96"/>
    </sheetView>
  </sheetViews>
  <sheetFormatPr defaultRowHeight="11.25"/>
  <cols>
    <col min="2" max="2" width="53" customWidth="1"/>
    <col min="3" max="3" width="20" style="97" customWidth="1"/>
    <col min="4" max="4" width="37.83203125" style="97" customWidth="1"/>
    <col min="5" max="5" width="20.6640625" style="97" customWidth="1"/>
    <col min="6" max="6" width="14.5" bestFit="1" customWidth="1"/>
    <col min="7" max="7" width="59.5" customWidth="1"/>
    <col min="8" max="8" width="21.6640625" style="97" customWidth="1"/>
    <col min="10" max="10" width="17.6640625" customWidth="1"/>
    <col min="11" max="11" width="16" customWidth="1"/>
    <col min="12" max="12" width="16.1640625" style="97" customWidth="1"/>
  </cols>
  <sheetData>
    <row r="1" spans="1:12" ht="142.5">
      <c r="A1" s="288"/>
      <c r="B1" s="289" t="s">
        <v>806</v>
      </c>
      <c r="C1" s="131"/>
      <c r="D1" s="131"/>
      <c r="E1" s="131"/>
      <c r="F1" s="131"/>
      <c r="G1" s="288"/>
      <c r="H1" s="288"/>
      <c r="I1" s="288"/>
      <c r="J1" s="288"/>
      <c r="L1"/>
    </row>
    <row r="2" spans="1:12" ht="18.75">
      <c r="A2" s="288"/>
      <c r="B2" s="289"/>
      <c r="C2" s="131"/>
      <c r="D2" s="131"/>
      <c r="E2" s="131"/>
      <c r="F2" s="131"/>
      <c r="G2" s="288"/>
      <c r="H2" s="288"/>
      <c r="I2" s="288"/>
      <c r="J2" s="288"/>
      <c r="L2"/>
    </row>
    <row r="3" spans="1:12" ht="18.75">
      <c r="A3" s="290"/>
      <c r="B3" s="289" t="s">
        <v>807</v>
      </c>
      <c r="C3" s="131"/>
      <c r="D3" s="131"/>
      <c r="E3" s="131"/>
      <c r="F3" s="131"/>
      <c r="G3" s="290"/>
      <c r="H3" s="290"/>
      <c r="I3" s="290"/>
      <c r="J3" s="290"/>
      <c r="L3"/>
    </row>
    <row r="4" spans="1:12" ht="18.75">
      <c r="A4" s="290"/>
      <c r="B4" s="291"/>
      <c r="C4" s="131"/>
      <c r="D4" s="131"/>
      <c r="E4" s="131"/>
      <c r="F4" s="131"/>
      <c r="G4" s="290"/>
      <c r="H4" s="290"/>
      <c r="I4" s="290"/>
      <c r="J4" s="290"/>
      <c r="L4"/>
    </row>
    <row r="5" spans="1:12" ht="18.75">
      <c r="A5" s="290"/>
      <c r="B5" s="292" t="s">
        <v>808</v>
      </c>
      <c r="C5" s="131"/>
      <c r="D5" s="131"/>
      <c r="E5" s="131"/>
      <c r="F5" s="131"/>
      <c r="G5" s="290"/>
      <c r="H5" s="290"/>
      <c r="I5" s="290"/>
      <c r="J5" s="290"/>
      <c r="L5"/>
    </row>
    <row r="6" spans="1:12" ht="30.75">
      <c r="A6" s="290"/>
      <c r="B6" s="293" t="s">
        <v>809</v>
      </c>
      <c r="C6" s="131"/>
      <c r="D6" s="131"/>
      <c r="E6" s="131"/>
      <c r="F6" s="131"/>
      <c r="G6" s="290"/>
      <c r="H6" s="290"/>
      <c r="I6" s="290"/>
      <c r="J6" s="290"/>
      <c r="L6"/>
    </row>
    <row r="7" spans="1:12" ht="18.75">
      <c r="A7" s="290"/>
      <c r="B7" s="291"/>
      <c r="C7" s="131"/>
      <c r="D7" s="131"/>
      <c r="E7" s="131"/>
      <c r="F7" s="131"/>
      <c r="G7" s="290"/>
      <c r="H7" s="290"/>
      <c r="I7" s="290"/>
      <c r="J7" s="290"/>
      <c r="L7"/>
    </row>
    <row r="8" spans="1:12" ht="30.75">
      <c r="A8" s="290"/>
      <c r="B8" s="294" t="s">
        <v>810</v>
      </c>
      <c r="C8" s="131"/>
      <c r="D8" s="131"/>
      <c r="E8" s="131"/>
      <c r="F8" s="131"/>
      <c r="G8" s="290"/>
      <c r="H8" s="290"/>
      <c r="I8" s="290"/>
      <c r="J8" s="290"/>
      <c r="L8"/>
    </row>
    <row r="9" spans="1:12" ht="30.75">
      <c r="A9" s="290"/>
      <c r="B9" s="295" t="s">
        <v>811</v>
      </c>
      <c r="C9" s="131"/>
      <c r="D9" s="131"/>
      <c r="E9" s="131"/>
      <c r="F9" s="131"/>
      <c r="G9" s="290"/>
      <c r="H9" s="290"/>
      <c r="I9" s="290"/>
      <c r="J9" s="290"/>
      <c r="L9"/>
    </row>
    <row r="10" spans="1:12" ht="30.75">
      <c r="A10" s="290"/>
      <c r="B10" s="291" t="s">
        <v>812</v>
      </c>
      <c r="C10" s="131"/>
      <c r="D10" s="131"/>
      <c r="E10" s="131"/>
      <c r="F10" s="131"/>
      <c r="G10" s="290"/>
      <c r="H10" s="290"/>
      <c r="I10" s="290"/>
      <c r="J10" s="290"/>
      <c r="L10"/>
    </row>
    <row r="11" spans="1:12" ht="45.75">
      <c r="A11" s="290"/>
      <c r="B11" s="196" t="s">
        <v>813</v>
      </c>
      <c r="C11" s="131"/>
      <c r="D11" s="131"/>
      <c r="E11" s="131"/>
      <c r="F11" s="131"/>
      <c r="G11" s="290"/>
      <c r="H11" s="290"/>
      <c r="I11" s="290"/>
      <c r="J11" s="290"/>
      <c r="L11"/>
    </row>
    <row r="12" spans="1:12" ht="17.25">
      <c r="A12" s="296"/>
      <c r="B12" s="291"/>
      <c r="C12" s="131"/>
      <c r="D12" s="131"/>
      <c r="E12" s="131"/>
      <c r="F12" s="131"/>
      <c r="G12" s="296"/>
      <c r="H12" s="296"/>
      <c r="I12" s="296"/>
      <c r="J12" s="296"/>
      <c r="L12"/>
    </row>
    <row r="13" spans="1:12" ht="18.75">
      <c r="A13" s="288"/>
      <c r="B13" s="292" t="s">
        <v>814</v>
      </c>
      <c r="C13" s="131"/>
      <c r="D13" s="131"/>
      <c r="E13" s="131"/>
      <c r="F13" s="131"/>
      <c r="G13" s="288"/>
      <c r="H13" s="288"/>
      <c r="I13" s="288"/>
      <c r="J13" s="288"/>
      <c r="L13"/>
    </row>
    <row r="14" spans="1:12" ht="60.75">
      <c r="A14" s="290"/>
      <c r="B14" s="292" t="s">
        <v>815</v>
      </c>
      <c r="C14" s="131"/>
      <c r="D14" s="131"/>
      <c r="E14" s="131"/>
      <c r="F14" s="131"/>
      <c r="G14" s="290"/>
      <c r="H14" s="290"/>
      <c r="I14" s="290"/>
      <c r="J14" s="290"/>
      <c r="L14"/>
    </row>
    <row r="15" spans="1:12" ht="18.75">
      <c r="A15" s="290"/>
      <c r="B15" s="291"/>
      <c r="C15" s="131"/>
      <c r="D15" s="131"/>
      <c r="E15" s="131"/>
      <c r="F15" s="131"/>
      <c r="G15" s="290"/>
      <c r="H15" s="290"/>
      <c r="I15" s="290"/>
      <c r="J15" s="290"/>
      <c r="L15"/>
    </row>
    <row r="16" spans="1:12" ht="18.75">
      <c r="A16" s="290"/>
      <c r="B16" s="197" t="s">
        <v>816</v>
      </c>
      <c r="C16" s="131"/>
      <c r="D16" s="131"/>
      <c r="E16" s="131"/>
      <c r="F16" s="131"/>
      <c r="G16" s="290"/>
      <c r="H16" s="290"/>
      <c r="I16" s="290"/>
      <c r="J16" s="290"/>
      <c r="L16"/>
    </row>
    <row r="17" spans="1:12" ht="18.75">
      <c r="A17" s="290"/>
      <c r="B17" s="297" t="s">
        <v>817</v>
      </c>
      <c r="C17" s="131"/>
      <c r="D17" s="131"/>
      <c r="E17" s="131"/>
      <c r="F17" s="131"/>
      <c r="G17" s="290"/>
      <c r="H17" s="290"/>
      <c r="I17" s="290"/>
      <c r="J17" s="290"/>
      <c r="L17"/>
    </row>
    <row r="18" spans="1:12" ht="18.75">
      <c r="A18" s="290"/>
      <c r="B18" s="297" t="s">
        <v>818</v>
      </c>
      <c r="C18" s="131"/>
      <c r="D18" s="131"/>
      <c r="E18" s="131"/>
      <c r="F18" s="131"/>
      <c r="G18" s="290"/>
      <c r="H18" s="290"/>
      <c r="I18" s="290"/>
      <c r="J18" s="290"/>
      <c r="L18"/>
    </row>
    <row r="19" spans="1:12" ht="60.75">
      <c r="A19" s="290"/>
      <c r="B19" s="298" t="s">
        <v>819</v>
      </c>
      <c r="C19" s="131"/>
      <c r="D19" s="131"/>
      <c r="E19" s="131"/>
      <c r="F19" s="131"/>
      <c r="G19" s="290"/>
      <c r="H19" s="290"/>
      <c r="I19" s="290"/>
      <c r="J19" s="290"/>
      <c r="L19"/>
    </row>
    <row r="20" spans="1:12" ht="18.75">
      <c r="A20" s="290"/>
      <c r="B20" s="291"/>
      <c r="C20" s="131"/>
      <c r="D20" s="131"/>
      <c r="E20" s="131"/>
      <c r="F20" s="131"/>
      <c r="G20" s="290"/>
      <c r="H20" s="290"/>
      <c r="I20" s="290"/>
      <c r="J20" s="290"/>
      <c r="L20"/>
    </row>
    <row r="21" spans="1:12" ht="18.75">
      <c r="A21" s="290"/>
      <c r="B21" s="292" t="s">
        <v>820</v>
      </c>
      <c r="C21" s="131"/>
      <c r="D21" s="131"/>
      <c r="E21" s="131"/>
      <c r="F21" s="131"/>
      <c r="G21" s="290"/>
      <c r="H21" s="290"/>
      <c r="I21" s="290"/>
      <c r="J21" s="290"/>
      <c r="L21"/>
    </row>
    <row r="22" spans="1:12" ht="45.75">
      <c r="A22" s="290"/>
      <c r="B22" s="292" t="s">
        <v>821</v>
      </c>
      <c r="C22" s="131"/>
      <c r="D22" s="131"/>
      <c r="E22" s="131"/>
      <c r="F22" s="131"/>
      <c r="G22" s="290"/>
      <c r="H22" s="290"/>
      <c r="I22" s="290"/>
      <c r="J22" s="290"/>
      <c r="L22"/>
    </row>
    <row r="23" spans="1:12" ht="18.75">
      <c r="A23" s="290"/>
      <c r="B23" s="291"/>
      <c r="C23" s="131"/>
      <c r="D23" s="131"/>
      <c r="E23" s="131"/>
      <c r="F23" s="131"/>
      <c r="G23" s="290"/>
      <c r="H23" s="290"/>
      <c r="I23" s="290"/>
      <c r="J23" s="290"/>
      <c r="L23"/>
    </row>
    <row r="24" spans="1:12" ht="18.75">
      <c r="A24" s="290"/>
      <c r="B24" s="198" t="s">
        <v>822</v>
      </c>
      <c r="C24" s="299" t="s">
        <v>823</v>
      </c>
      <c r="D24" s="299" t="s">
        <v>824</v>
      </c>
      <c r="E24" s="299"/>
      <c r="F24" s="300" t="s">
        <v>825</v>
      </c>
      <c r="G24" s="290"/>
      <c r="H24" s="290"/>
      <c r="I24" s="290"/>
      <c r="J24" s="290"/>
      <c r="L24"/>
    </row>
    <row r="25" spans="1:12" ht="18.75">
      <c r="A25" s="290"/>
      <c r="B25" s="301" t="s">
        <v>826</v>
      </c>
      <c r="C25" s="302">
        <v>19</v>
      </c>
      <c r="D25" s="302" t="s">
        <v>827</v>
      </c>
      <c r="E25" s="302"/>
      <c r="F25" s="303" t="s">
        <v>828</v>
      </c>
      <c r="G25" s="290"/>
      <c r="H25" s="290"/>
      <c r="I25" s="290"/>
      <c r="J25" s="290"/>
      <c r="L25"/>
    </row>
    <row r="26" spans="1:12" ht="18.75">
      <c r="A26" s="290"/>
      <c r="B26" s="304" t="s">
        <v>829</v>
      </c>
      <c r="C26" s="305">
        <v>20</v>
      </c>
      <c r="D26" s="305" t="s">
        <v>830</v>
      </c>
      <c r="E26" s="305"/>
      <c r="F26" s="306" t="s">
        <v>831</v>
      </c>
      <c r="G26" s="290"/>
      <c r="H26" s="290"/>
      <c r="I26" s="290"/>
      <c r="J26" s="290"/>
      <c r="L26"/>
    </row>
    <row r="27" spans="1:12" ht="18.75">
      <c r="A27" s="290"/>
      <c r="B27" s="301" t="s">
        <v>832</v>
      </c>
      <c r="C27" s="302">
        <v>2</v>
      </c>
      <c r="D27" s="302" t="s">
        <v>833</v>
      </c>
      <c r="E27" s="302"/>
      <c r="F27" s="303" t="s">
        <v>834</v>
      </c>
      <c r="G27" s="290"/>
      <c r="H27" s="290"/>
      <c r="I27" s="290"/>
      <c r="J27" s="290"/>
      <c r="L27"/>
    </row>
    <row r="28" spans="1:12" ht="18.75">
      <c r="A28" s="290"/>
      <c r="B28" s="304" t="s">
        <v>835</v>
      </c>
      <c r="C28" s="305" t="s">
        <v>84</v>
      </c>
      <c r="D28" s="305" t="s">
        <v>84</v>
      </c>
      <c r="E28" s="305"/>
      <c r="F28" s="307" t="s">
        <v>836</v>
      </c>
      <c r="G28" s="290"/>
      <c r="H28" s="290"/>
      <c r="I28" s="290"/>
      <c r="J28" s="290"/>
      <c r="L28"/>
    </row>
    <row r="29" spans="1:12" ht="18.75">
      <c r="A29" s="290"/>
      <c r="B29" s="291"/>
      <c r="C29" s="131"/>
      <c r="D29" s="131"/>
      <c r="E29" s="131"/>
      <c r="F29" s="131"/>
      <c r="G29" s="290"/>
      <c r="H29" s="290"/>
      <c r="I29" s="290"/>
      <c r="J29" s="290"/>
      <c r="L29"/>
    </row>
    <row r="30" spans="1:12" ht="18.75">
      <c r="A30" s="290"/>
      <c r="B30" s="199" t="s">
        <v>837</v>
      </c>
      <c r="C30" s="131"/>
      <c r="D30" s="131"/>
      <c r="E30" s="131"/>
      <c r="F30" s="131"/>
      <c r="G30" s="290"/>
      <c r="H30" s="290"/>
      <c r="I30" s="290"/>
      <c r="J30" s="290"/>
      <c r="L30"/>
    </row>
    <row r="31" spans="1:12" ht="30.75">
      <c r="A31" s="290"/>
      <c r="B31" s="308" t="s">
        <v>838</v>
      </c>
      <c r="C31" s="131"/>
      <c r="D31" s="131"/>
      <c r="E31" s="131"/>
      <c r="F31" s="131"/>
      <c r="G31" s="290"/>
      <c r="H31" s="290"/>
      <c r="I31" s="290"/>
      <c r="J31" s="290"/>
      <c r="L31"/>
    </row>
    <row r="32" spans="1:12" ht="30.75">
      <c r="A32" s="290"/>
      <c r="B32" s="309" t="s">
        <v>839</v>
      </c>
      <c r="C32" s="131"/>
      <c r="D32" s="131"/>
      <c r="E32" s="131"/>
      <c r="F32" s="131"/>
      <c r="G32" s="290"/>
      <c r="H32" s="290"/>
      <c r="I32" s="290"/>
      <c r="J32" s="290"/>
      <c r="L32"/>
    </row>
    <row r="33" spans="1:15" ht="30.75">
      <c r="A33" s="290"/>
      <c r="B33" s="308" t="s">
        <v>840</v>
      </c>
      <c r="C33" s="131"/>
      <c r="D33" s="131"/>
      <c r="E33" s="131"/>
      <c r="F33" s="131"/>
      <c r="G33" s="290"/>
      <c r="H33" s="290"/>
      <c r="I33" s="290"/>
      <c r="J33" s="290"/>
      <c r="L33"/>
    </row>
    <row r="34" spans="1:15" ht="30.75">
      <c r="A34" s="290"/>
      <c r="B34" s="309" t="s">
        <v>841</v>
      </c>
      <c r="C34" s="131"/>
      <c r="D34" s="131"/>
      <c r="E34" s="131"/>
      <c r="F34" s="131"/>
      <c r="G34" s="290"/>
      <c r="H34" s="290"/>
      <c r="I34" s="290"/>
      <c r="J34" s="290"/>
      <c r="L34"/>
    </row>
    <row r="35" spans="1:15" ht="30.75">
      <c r="A35" s="290"/>
      <c r="B35" s="308" t="s">
        <v>842</v>
      </c>
      <c r="C35" s="131"/>
      <c r="D35" s="131"/>
      <c r="E35" s="131"/>
      <c r="F35" s="131"/>
      <c r="G35" s="290"/>
      <c r="H35" s="290"/>
      <c r="I35" s="290"/>
      <c r="J35" s="290"/>
      <c r="L35"/>
    </row>
    <row r="36" spans="1:15" ht="18.75">
      <c r="A36" s="290"/>
      <c r="B36" s="290"/>
      <c r="C36" s="290"/>
      <c r="D36" s="290"/>
      <c r="E36" s="290"/>
      <c r="F36" s="290"/>
      <c r="G36" s="290"/>
      <c r="H36" s="290"/>
      <c r="I36" s="290"/>
      <c r="J36" s="290"/>
      <c r="L36"/>
    </row>
    <row r="37" spans="1:15" ht="18.75">
      <c r="A37" s="290"/>
      <c r="C37" s="290"/>
      <c r="D37" s="290"/>
      <c r="E37" s="290"/>
      <c r="G37" s="290"/>
      <c r="H37" s="290"/>
      <c r="I37" s="290"/>
      <c r="J37" s="290"/>
      <c r="K37" s="54">
        <v>1005</v>
      </c>
      <c r="L37" s="310">
        <v>7500</v>
      </c>
      <c r="M37" s="54"/>
      <c r="N37" s="54"/>
      <c r="O37" s="54"/>
    </row>
    <row r="38" spans="1:15" ht="18.75">
      <c r="A38" s="290"/>
      <c r="B38" s="290"/>
      <c r="C38" s="290"/>
      <c r="D38" s="290"/>
      <c r="E38" s="290"/>
      <c r="F38" s="290"/>
      <c r="G38" s="290"/>
      <c r="H38" s="290"/>
      <c r="I38" s="290"/>
      <c r="J38" s="290"/>
      <c r="K38" s="54">
        <v>1010</v>
      </c>
      <c r="L38" s="310">
        <v>7500</v>
      </c>
      <c r="M38" s="54"/>
      <c r="N38" s="54"/>
      <c r="O38" s="54"/>
    </row>
    <row r="39" spans="1:15" ht="18.75">
      <c r="A39" s="290"/>
      <c r="B39" s="290"/>
      <c r="C39" s="290"/>
      <c r="D39" s="290"/>
      <c r="E39" s="290"/>
      <c r="F39" s="290"/>
      <c r="G39" s="290"/>
      <c r="H39" s="290"/>
      <c r="I39" s="290"/>
      <c r="J39" s="290"/>
      <c r="K39" s="54">
        <v>1087</v>
      </c>
      <c r="L39" s="310">
        <v>1500</v>
      </c>
      <c r="M39" s="54"/>
      <c r="N39" s="54"/>
      <c r="O39" s="54"/>
    </row>
    <row r="40" spans="1:15" ht="18.75">
      <c r="A40" s="290"/>
      <c r="B40" s="290"/>
      <c r="C40" s="290"/>
      <c r="D40" s="290"/>
      <c r="E40" s="290"/>
      <c r="F40" s="290"/>
      <c r="G40" s="290"/>
      <c r="H40" s="290"/>
      <c r="I40" s="290"/>
      <c r="J40" s="290"/>
      <c r="K40" s="54">
        <v>1015</v>
      </c>
      <c r="L40" s="310">
        <v>1500</v>
      </c>
      <c r="M40" s="54"/>
      <c r="N40" s="54"/>
      <c r="O40" s="54"/>
    </row>
    <row r="41" spans="1:15" ht="18.75">
      <c r="A41" s="290"/>
      <c r="B41" s="290"/>
      <c r="C41" s="290">
        <v>1010</v>
      </c>
      <c r="D41" s="311">
        <v>1999.98</v>
      </c>
      <c r="E41" s="311"/>
      <c r="F41" s="290"/>
      <c r="G41" s="290"/>
      <c r="H41" s="290"/>
      <c r="I41" s="290"/>
      <c r="J41" s="290"/>
      <c r="K41" s="54">
        <v>1020</v>
      </c>
      <c r="L41" s="310">
        <v>1500</v>
      </c>
      <c r="M41" s="54"/>
      <c r="N41" s="54"/>
      <c r="O41" s="54"/>
    </row>
    <row r="42" spans="1:15" ht="18.75">
      <c r="A42" s="290"/>
      <c r="B42" s="290"/>
      <c r="C42" s="290">
        <v>1005</v>
      </c>
      <c r="D42" s="311">
        <v>8999.91</v>
      </c>
      <c r="E42" s="311"/>
      <c r="F42" s="290"/>
      <c r="G42" s="290"/>
      <c r="H42" s="290"/>
      <c r="I42" s="290"/>
      <c r="J42" s="290"/>
      <c r="K42" s="54">
        <v>1017</v>
      </c>
      <c r="L42" s="310">
        <v>6000</v>
      </c>
      <c r="M42" s="54"/>
      <c r="N42" s="54"/>
      <c r="O42" s="54"/>
    </row>
    <row r="43" spans="1:15" ht="18.75">
      <c r="A43" s="290"/>
      <c r="B43" s="288"/>
      <c r="C43" s="290">
        <v>1015</v>
      </c>
      <c r="D43" s="311">
        <v>999.99</v>
      </c>
      <c r="E43" s="311"/>
      <c r="F43" s="288"/>
      <c r="G43" s="290"/>
      <c r="H43" s="290"/>
      <c r="I43" s="290"/>
      <c r="J43" s="290"/>
      <c r="K43" s="54">
        <v>1016</v>
      </c>
      <c r="L43" s="310">
        <v>1500</v>
      </c>
      <c r="M43" s="54"/>
      <c r="N43" s="54"/>
      <c r="O43" s="54"/>
    </row>
    <row r="44" spans="1:15" ht="17.25">
      <c r="A44" s="296"/>
      <c r="B44" s="312"/>
      <c r="C44" s="296">
        <v>1017</v>
      </c>
      <c r="D44" s="313">
        <v>2999.97</v>
      </c>
      <c r="E44" s="313"/>
      <c r="F44" s="312"/>
      <c r="G44" s="296"/>
      <c r="H44" s="296"/>
      <c r="I44" s="296"/>
      <c r="J44" s="296"/>
      <c r="K44" s="54">
        <v>1011</v>
      </c>
      <c r="L44" s="310">
        <v>1500</v>
      </c>
      <c r="M44" s="54"/>
      <c r="N44" s="54"/>
      <c r="O44" s="54"/>
    </row>
    <row r="45" spans="1:15" ht="18.75">
      <c r="A45" s="288"/>
      <c r="B45" s="288"/>
      <c r="C45" s="290">
        <v>1020</v>
      </c>
      <c r="D45" s="311">
        <v>999.99</v>
      </c>
      <c r="E45" s="311"/>
      <c r="F45" s="288"/>
      <c r="G45" s="288"/>
      <c r="H45" s="288"/>
      <c r="I45" s="288"/>
      <c r="J45" s="288"/>
      <c r="K45" s="54">
        <v>1065</v>
      </c>
      <c r="L45" s="310">
        <v>1500</v>
      </c>
      <c r="M45" s="54"/>
      <c r="N45" s="54"/>
    </row>
    <row r="46" spans="1:15" ht="18.75">
      <c r="A46" s="290"/>
      <c r="B46" s="290"/>
      <c r="C46" s="290">
        <v>1025</v>
      </c>
      <c r="D46" s="311">
        <v>1999.98</v>
      </c>
      <c r="E46" s="311"/>
      <c r="F46" s="290"/>
      <c r="G46" s="290"/>
      <c r="H46" s="290"/>
      <c r="I46" s="290"/>
      <c r="J46" s="290"/>
      <c r="K46" s="54">
        <v>1018</v>
      </c>
      <c r="L46" s="310">
        <v>1500</v>
      </c>
      <c r="M46" s="54"/>
      <c r="N46" s="54"/>
    </row>
    <row r="47" spans="1:15" ht="18.75">
      <c r="A47" s="290"/>
      <c r="B47" s="290"/>
      <c r="C47" s="290">
        <v>1014</v>
      </c>
      <c r="D47" s="311">
        <v>999.99</v>
      </c>
      <c r="E47" s="311"/>
      <c r="F47" s="290"/>
      <c r="G47" s="290"/>
      <c r="H47" s="290"/>
      <c r="I47" s="290"/>
      <c r="J47" s="290"/>
      <c r="K47" s="54"/>
      <c r="L47" s="314">
        <v>31500</v>
      </c>
      <c r="M47" s="54"/>
      <c r="N47" s="54"/>
    </row>
    <row r="48" spans="1:15" ht="18.75">
      <c r="A48" s="290"/>
      <c r="B48" s="290"/>
      <c r="C48" s="290"/>
      <c r="D48" s="315">
        <v>18999.810000000001</v>
      </c>
      <c r="E48" s="315"/>
      <c r="F48" s="290"/>
      <c r="G48" s="290"/>
      <c r="H48" s="290"/>
      <c r="I48" s="290"/>
      <c r="J48" s="290"/>
      <c r="K48" s="54"/>
      <c r="L48" s="54"/>
      <c r="M48" s="54"/>
      <c r="N48" s="54"/>
    </row>
    <row r="49" spans="1:14" ht="18.75">
      <c r="A49" s="290"/>
      <c r="B49" s="290"/>
      <c r="C49" s="290"/>
      <c r="D49" s="290"/>
      <c r="E49" s="290"/>
      <c r="F49" s="290"/>
      <c r="G49" s="290"/>
      <c r="H49" s="290"/>
      <c r="I49" s="290"/>
      <c r="J49" s="290"/>
      <c r="K49" s="54"/>
      <c r="L49" s="54" t="s">
        <v>843</v>
      </c>
      <c r="M49" s="54"/>
      <c r="N49" s="54"/>
    </row>
    <row r="50" spans="1:14" ht="18.75">
      <c r="A50" s="290"/>
      <c r="B50" s="290"/>
      <c r="C50" s="290"/>
      <c r="D50" s="290"/>
      <c r="E50" s="290"/>
      <c r="F50" s="290"/>
      <c r="G50" s="290"/>
      <c r="H50" s="290"/>
      <c r="I50" s="290"/>
      <c r="J50" s="290"/>
      <c r="K50" s="54"/>
      <c r="L50" s="314">
        <v>21410</v>
      </c>
      <c r="M50" s="54"/>
      <c r="N50" s="54"/>
    </row>
    <row r="51" spans="1:14" ht="18.75">
      <c r="A51" s="290"/>
      <c r="B51" s="290"/>
      <c r="C51" s="290"/>
      <c r="D51" s="290"/>
      <c r="E51" s="290"/>
      <c r="F51" s="290"/>
      <c r="G51" s="290"/>
      <c r="H51" s="290"/>
      <c r="I51" s="290"/>
      <c r="J51" s="290"/>
      <c r="K51" s="54"/>
      <c r="L51" s="54"/>
      <c r="M51" s="54"/>
      <c r="N51" s="54"/>
    </row>
    <row r="52" spans="1:14" ht="18.75">
      <c r="A52" s="290"/>
      <c r="B52" s="290"/>
      <c r="C52" s="290"/>
      <c r="D52" s="290"/>
      <c r="E52" s="290"/>
      <c r="F52" s="290"/>
      <c r="G52" s="290"/>
      <c r="H52" s="290"/>
      <c r="I52" s="290"/>
      <c r="J52" s="290"/>
      <c r="K52" s="54"/>
      <c r="L52" s="54"/>
      <c r="M52" s="54"/>
      <c r="N52" s="54"/>
    </row>
    <row r="53" spans="1:14" ht="18.75">
      <c r="A53" s="290"/>
      <c r="B53" s="290"/>
      <c r="C53" s="290"/>
      <c r="D53" s="290"/>
      <c r="E53" s="290"/>
      <c r="F53" s="290"/>
      <c r="G53" s="290"/>
      <c r="H53" s="290"/>
      <c r="I53" s="290"/>
      <c r="J53" s="290"/>
      <c r="K53" s="54"/>
      <c r="L53" s="54"/>
      <c r="M53" s="54"/>
      <c r="N53" s="54"/>
    </row>
    <row r="54" spans="1:14" ht="18.75">
      <c r="A54" s="290"/>
      <c r="B54" s="290"/>
      <c r="C54" s="290"/>
      <c r="D54" s="290"/>
      <c r="E54" s="290"/>
      <c r="F54" s="290"/>
      <c r="G54" s="290"/>
      <c r="H54" s="290"/>
      <c r="I54" s="290"/>
      <c r="J54" s="290"/>
      <c r="L54"/>
    </row>
    <row r="55" spans="1:14" ht="18.75">
      <c r="A55" s="290"/>
      <c r="B55" s="290"/>
      <c r="C55" s="290"/>
      <c r="D55" s="290"/>
      <c r="E55" s="290"/>
      <c r="F55" s="290"/>
      <c r="G55" s="290"/>
      <c r="H55" s="290"/>
      <c r="I55" s="290"/>
      <c r="J55" s="290"/>
      <c r="L55"/>
    </row>
    <row r="56" spans="1:14" ht="18.75">
      <c r="A56" s="290"/>
      <c r="B56" s="290"/>
      <c r="C56" s="290"/>
      <c r="D56" s="290"/>
      <c r="E56" s="290"/>
      <c r="F56" s="290"/>
      <c r="G56" s="290"/>
      <c r="H56" s="290"/>
      <c r="I56" s="290"/>
      <c r="J56" s="290"/>
      <c r="L56"/>
    </row>
    <row r="57" spans="1:14" ht="18.75">
      <c r="A57" s="290"/>
      <c r="B57" s="288" t="s">
        <v>844</v>
      </c>
      <c r="C57" s="290"/>
      <c r="D57" s="290"/>
      <c r="E57" s="290"/>
      <c r="F57" s="290"/>
      <c r="G57" s="290"/>
      <c r="H57" s="290"/>
      <c r="I57" s="290"/>
      <c r="J57" s="290"/>
      <c r="L57"/>
    </row>
    <row r="58" spans="1:14" ht="18.75">
      <c r="A58" s="290"/>
      <c r="B58" s="290" t="s">
        <v>845</v>
      </c>
      <c r="C58" s="352">
        <v>58615.68</v>
      </c>
      <c r="D58" s="290" t="s">
        <v>760</v>
      </c>
      <c r="E58" s="290"/>
      <c r="F58" s="290"/>
      <c r="G58" s="288" t="s">
        <v>846</v>
      </c>
      <c r="H58" s="290"/>
      <c r="I58" s="290"/>
      <c r="J58" s="290"/>
      <c r="L58"/>
    </row>
    <row r="59" spans="1:14" ht="18.75">
      <c r="A59" s="290"/>
      <c r="B59" s="290" t="s">
        <v>847</v>
      </c>
      <c r="C59" s="352">
        <v>5500</v>
      </c>
      <c r="D59" s="290" t="s">
        <v>848</v>
      </c>
      <c r="E59" s="352">
        <f>C59/5</f>
        <v>1100</v>
      </c>
      <c r="F59" s="290"/>
      <c r="G59" s="288"/>
      <c r="H59" s="290"/>
      <c r="I59" s="290"/>
      <c r="J59" s="290"/>
      <c r="L59"/>
    </row>
    <row r="60" spans="1:14" ht="18.75">
      <c r="A60" s="290"/>
      <c r="B60" s="290" t="s">
        <v>849</v>
      </c>
      <c r="C60" s="352">
        <v>24514.06</v>
      </c>
      <c r="D60" s="290" t="s">
        <v>760</v>
      </c>
      <c r="E60" s="290"/>
      <c r="F60" s="290">
        <v>1005</v>
      </c>
      <c r="G60" s="290" t="s">
        <v>850</v>
      </c>
      <c r="H60" s="316">
        <v>295</v>
      </c>
      <c r="I60" s="290"/>
      <c r="J60" s="290" t="s">
        <v>851</v>
      </c>
      <c r="K60" s="355">
        <v>9275.2199999999993</v>
      </c>
      <c r="L60"/>
    </row>
    <row r="61" spans="1:14" ht="17.25">
      <c r="A61" s="296"/>
      <c r="B61" s="296" t="s">
        <v>852</v>
      </c>
      <c r="C61" s="353">
        <v>180</v>
      </c>
      <c r="D61" s="296">
        <v>1015</v>
      </c>
      <c r="E61" s="296"/>
      <c r="F61" s="296">
        <v>1005</v>
      </c>
      <c r="G61" s="296" t="s">
        <v>853</v>
      </c>
      <c r="H61" s="317">
        <v>282.48</v>
      </c>
      <c r="I61" s="296"/>
      <c r="J61" s="296" t="s">
        <v>854</v>
      </c>
      <c r="K61" s="356">
        <v>795</v>
      </c>
      <c r="L61"/>
    </row>
    <row r="62" spans="1:14" ht="17.25">
      <c r="A62" s="296"/>
      <c r="B62" s="296" t="s">
        <v>855</v>
      </c>
      <c r="C62" s="353">
        <v>2800</v>
      </c>
      <c r="D62" s="296" t="s">
        <v>760</v>
      </c>
      <c r="E62" s="296"/>
      <c r="F62" s="296"/>
      <c r="G62" s="296"/>
      <c r="H62" s="296"/>
      <c r="I62" s="296"/>
      <c r="J62" s="296"/>
      <c r="L62"/>
    </row>
    <row r="63" spans="1:14" ht="18.75">
      <c r="A63" s="318"/>
      <c r="B63" s="319" t="s">
        <v>856</v>
      </c>
      <c r="C63" s="354">
        <v>4634.55</v>
      </c>
      <c r="D63" s="319" t="s">
        <v>760</v>
      </c>
      <c r="E63" s="319"/>
      <c r="F63" s="319">
        <v>1010</v>
      </c>
      <c r="G63" s="319" t="s">
        <v>857</v>
      </c>
      <c r="H63" s="320">
        <v>210</v>
      </c>
      <c r="I63" s="318"/>
      <c r="J63" s="319" t="s">
        <v>858</v>
      </c>
      <c r="K63" s="123">
        <v>6301.05</v>
      </c>
      <c r="L63"/>
    </row>
    <row r="64" spans="1:14" ht="18.75">
      <c r="A64" s="290"/>
      <c r="B64" s="290" t="s">
        <v>859</v>
      </c>
      <c r="C64" s="352">
        <v>3500</v>
      </c>
      <c r="D64" s="290" t="s">
        <v>860</v>
      </c>
      <c r="E64" s="352">
        <f>C64/2</f>
        <v>1750</v>
      </c>
      <c r="F64" s="290">
        <v>1999</v>
      </c>
      <c r="G64" s="290" t="s">
        <v>861</v>
      </c>
      <c r="H64" s="316">
        <v>6087.3</v>
      </c>
      <c r="I64" s="290"/>
      <c r="J64" s="290" t="s">
        <v>862</v>
      </c>
      <c r="K64" s="123">
        <f>H69+H70</f>
        <v>120</v>
      </c>
      <c r="L64"/>
    </row>
    <row r="65" spans="1:12" ht="18.75">
      <c r="A65" s="290"/>
      <c r="B65" s="290" t="s">
        <v>863</v>
      </c>
      <c r="C65" s="352">
        <v>2200</v>
      </c>
      <c r="D65" s="290">
        <v>1015</v>
      </c>
      <c r="E65" s="290"/>
      <c r="F65" s="290">
        <v>1005</v>
      </c>
      <c r="G65" s="290" t="s">
        <v>864</v>
      </c>
      <c r="H65" s="316">
        <v>5910</v>
      </c>
      <c r="I65" s="290"/>
      <c r="J65" s="290"/>
      <c r="K65" s="123">
        <v>16431.27</v>
      </c>
      <c r="L65"/>
    </row>
    <row r="66" spans="1:12" ht="18.75">
      <c r="A66" s="290"/>
      <c r="B66" s="290" t="s">
        <v>865</v>
      </c>
      <c r="C66" s="352">
        <v>950</v>
      </c>
      <c r="D66" s="290" t="s">
        <v>848</v>
      </c>
      <c r="E66" s="352">
        <f>C66/5</f>
        <v>190</v>
      </c>
      <c r="F66" s="290"/>
      <c r="G66" s="290"/>
      <c r="H66" s="290"/>
      <c r="I66" s="290"/>
      <c r="J66" s="290"/>
      <c r="L66"/>
    </row>
    <row r="67" spans="1:12" ht="18.75">
      <c r="A67" s="290"/>
      <c r="B67" s="290" t="s">
        <v>866</v>
      </c>
      <c r="C67" s="352">
        <v>3238.92</v>
      </c>
      <c r="D67" s="290"/>
      <c r="E67" s="290"/>
      <c r="F67" s="290">
        <v>1005</v>
      </c>
      <c r="G67" s="290" t="s">
        <v>867</v>
      </c>
      <c r="H67" s="316">
        <v>300</v>
      </c>
      <c r="I67" s="290"/>
      <c r="J67" s="290"/>
      <c r="L67"/>
    </row>
    <row r="68" spans="1:12" ht="18.75">
      <c r="A68" s="290"/>
      <c r="B68" s="290" t="s">
        <v>868</v>
      </c>
      <c r="C68" s="352">
        <v>5000</v>
      </c>
      <c r="D68" s="290"/>
      <c r="E68" s="290"/>
      <c r="F68" s="290">
        <v>1999</v>
      </c>
      <c r="G68" s="290" t="s">
        <v>869</v>
      </c>
      <c r="H68" s="316">
        <v>213.75</v>
      </c>
      <c r="I68" s="290"/>
      <c r="J68" s="290"/>
      <c r="L68"/>
    </row>
    <row r="69" spans="1:12" ht="18.75">
      <c r="A69" s="290"/>
      <c r="B69" s="290"/>
      <c r="C69" s="316">
        <v>111133.21</v>
      </c>
      <c r="D69" s="290"/>
      <c r="E69" s="290"/>
      <c r="F69" s="290">
        <v>1014</v>
      </c>
      <c r="G69" s="290" t="s">
        <v>870</v>
      </c>
      <c r="H69" s="316">
        <v>60</v>
      </c>
      <c r="I69" s="290"/>
      <c r="J69" s="290"/>
      <c r="L69"/>
    </row>
    <row r="70" spans="1:12" ht="18.75">
      <c r="A70" s="290"/>
      <c r="B70" s="290"/>
      <c r="C70" s="316"/>
      <c r="D70" s="290"/>
      <c r="E70" s="290"/>
      <c r="F70" s="290">
        <v>1014</v>
      </c>
      <c r="G70" s="290" t="s">
        <v>871</v>
      </c>
      <c r="H70" s="316">
        <v>60</v>
      </c>
      <c r="I70" s="290"/>
      <c r="J70" s="290"/>
      <c r="L70"/>
    </row>
    <row r="71" spans="1:12" ht="18.75">
      <c r="A71" s="290"/>
      <c r="B71" s="290"/>
      <c r="C71" s="290"/>
      <c r="D71" s="290"/>
      <c r="E71" s="290"/>
      <c r="F71" s="290">
        <v>1005</v>
      </c>
      <c r="G71" s="290" t="s">
        <v>872</v>
      </c>
      <c r="H71" s="316">
        <v>150</v>
      </c>
      <c r="I71" s="290"/>
      <c r="J71" s="290"/>
      <c r="L71"/>
    </row>
    <row r="72" spans="1:12" ht="18.75">
      <c r="A72" s="290"/>
      <c r="B72" s="288" t="s">
        <v>239</v>
      </c>
      <c r="C72" s="290"/>
      <c r="D72" s="290"/>
      <c r="E72" s="290"/>
      <c r="F72" s="290">
        <v>1005</v>
      </c>
      <c r="G72" s="290" t="s">
        <v>873</v>
      </c>
      <c r="H72" s="316">
        <v>1306.8</v>
      </c>
      <c r="I72" s="290"/>
      <c r="J72" s="290"/>
      <c r="L72"/>
    </row>
    <row r="73" spans="1:12" ht="18.75">
      <c r="A73" s="290"/>
      <c r="B73" s="290" t="s">
        <v>874</v>
      </c>
      <c r="C73" s="352">
        <v>28350</v>
      </c>
      <c r="D73" s="290"/>
      <c r="E73" s="290"/>
      <c r="F73" s="290">
        <v>1005</v>
      </c>
      <c r="G73" s="290" t="s">
        <v>875</v>
      </c>
      <c r="H73" s="316">
        <v>366.45</v>
      </c>
      <c r="I73" s="290"/>
      <c r="J73" s="290"/>
      <c r="L73"/>
    </row>
    <row r="74" spans="1:12" ht="18.75">
      <c r="A74" s="290"/>
      <c r="B74" s="290"/>
      <c r="C74" s="290"/>
      <c r="D74" s="290"/>
      <c r="E74" s="290"/>
      <c r="F74" s="290">
        <v>1005</v>
      </c>
      <c r="G74" s="290" t="s">
        <v>876</v>
      </c>
      <c r="H74" s="316">
        <v>204.28</v>
      </c>
      <c r="I74" s="290"/>
      <c r="J74" s="290"/>
      <c r="L74"/>
    </row>
    <row r="75" spans="1:12" ht="18.75">
      <c r="A75" s="290"/>
      <c r="B75" s="288" t="s">
        <v>877</v>
      </c>
      <c r="C75" s="290"/>
      <c r="D75" s="290"/>
      <c r="E75" s="290"/>
      <c r="F75" s="290">
        <v>1005</v>
      </c>
      <c r="G75" s="290" t="s">
        <v>878</v>
      </c>
      <c r="H75" s="316">
        <v>345.46</v>
      </c>
      <c r="I75" s="290"/>
      <c r="J75" s="290"/>
      <c r="L75"/>
    </row>
    <row r="76" spans="1:12" ht="18.75">
      <c r="A76" s="290"/>
      <c r="B76" s="290" t="s">
        <v>879</v>
      </c>
      <c r="C76" s="352">
        <v>6697.42</v>
      </c>
      <c r="D76" s="290"/>
      <c r="E76" s="290"/>
      <c r="F76" s="290">
        <v>1010</v>
      </c>
      <c r="G76" s="290" t="s">
        <v>880</v>
      </c>
      <c r="H76" s="316">
        <v>585</v>
      </c>
      <c r="I76" s="290"/>
      <c r="J76" s="290"/>
      <c r="L76"/>
    </row>
    <row r="77" spans="1:12" ht="18.75">
      <c r="A77" s="290"/>
      <c r="B77" s="290" t="s">
        <v>881</v>
      </c>
      <c r="C77" s="352">
        <v>753.96</v>
      </c>
      <c r="D77" s="290"/>
      <c r="E77" s="290"/>
      <c r="F77" s="290">
        <v>1005</v>
      </c>
      <c r="G77" s="290" t="s">
        <v>882</v>
      </c>
      <c r="H77" s="316">
        <v>114.75</v>
      </c>
      <c r="I77" s="290"/>
      <c r="J77" s="290"/>
      <c r="L77"/>
    </row>
    <row r="78" spans="1:12" ht="18.75">
      <c r="A78" s="290"/>
      <c r="B78" s="290" t="s">
        <v>883</v>
      </c>
      <c r="C78" s="352">
        <v>3309.27</v>
      </c>
      <c r="D78" s="290"/>
      <c r="E78" s="290"/>
      <c r="F78" s="290"/>
      <c r="G78" s="290"/>
      <c r="H78" s="290"/>
      <c r="I78" s="290"/>
      <c r="J78" s="290"/>
      <c r="L78"/>
    </row>
    <row r="79" spans="1:12" ht="18.75">
      <c r="A79" s="290"/>
      <c r="B79" s="290"/>
      <c r="C79" s="352">
        <v>10760.65</v>
      </c>
      <c r="D79" s="290"/>
      <c r="E79" s="290"/>
      <c r="F79" s="290"/>
      <c r="G79" s="290"/>
      <c r="H79" s="315">
        <v>16431.27</v>
      </c>
      <c r="I79" s="290"/>
      <c r="J79" s="290"/>
      <c r="L79"/>
    </row>
    <row r="80" spans="1:12" ht="18.75">
      <c r="A80" s="290"/>
      <c r="B80" s="290"/>
      <c r="C80" s="290"/>
      <c r="D80" s="290"/>
      <c r="E80" s="290"/>
      <c r="F80" s="290"/>
      <c r="G80" s="290"/>
      <c r="H80" s="290"/>
      <c r="I80" s="290"/>
      <c r="J80" s="290"/>
      <c r="L80"/>
    </row>
    <row r="81" spans="1:12" ht="18.75">
      <c r="A81" s="290"/>
      <c r="B81" s="288" t="s">
        <v>884</v>
      </c>
      <c r="C81" s="290"/>
      <c r="D81" s="290"/>
      <c r="E81" s="290"/>
      <c r="F81" s="290"/>
      <c r="G81" s="290"/>
      <c r="H81" s="290"/>
      <c r="I81" s="290"/>
      <c r="J81" s="290"/>
      <c r="L81"/>
    </row>
    <row r="82" spans="1:12" ht="18.75">
      <c r="A82" s="290"/>
      <c r="B82" s="290" t="s">
        <v>885</v>
      </c>
      <c r="C82" s="316">
        <v>10581.82</v>
      </c>
      <c r="D82" s="290"/>
      <c r="E82" s="290"/>
      <c r="F82" s="290"/>
      <c r="G82" s="288" t="s">
        <v>886</v>
      </c>
      <c r="H82" s="290"/>
      <c r="I82" s="290"/>
      <c r="J82" s="290"/>
      <c r="K82" s="358"/>
      <c r="L82"/>
    </row>
    <row r="83" spans="1:12" ht="18.75">
      <c r="A83" s="290"/>
      <c r="B83" s="290"/>
      <c r="C83" s="290"/>
      <c r="D83" s="290"/>
      <c r="E83" s="290"/>
      <c r="F83" s="290">
        <v>1014</v>
      </c>
      <c r="G83" s="290" t="s">
        <v>887</v>
      </c>
      <c r="H83" s="311">
        <v>1500</v>
      </c>
      <c r="I83" s="290"/>
      <c r="J83" s="290">
        <v>1014</v>
      </c>
      <c r="K83" s="357">
        <f>H83+H87+H88</f>
        <v>3350</v>
      </c>
      <c r="L83"/>
    </row>
    <row r="84" spans="1:12" ht="18.75">
      <c r="A84" s="290"/>
      <c r="B84" s="288" t="s">
        <v>888</v>
      </c>
      <c r="C84" s="290"/>
      <c r="D84" s="290"/>
      <c r="E84" s="290"/>
      <c r="F84" s="290">
        <v>1025</v>
      </c>
      <c r="G84" s="290" t="s">
        <v>889</v>
      </c>
      <c r="H84" s="316">
        <v>1032</v>
      </c>
      <c r="I84" s="290"/>
      <c r="J84" s="290">
        <v>1025</v>
      </c>
      <c r="K84" s="357">
        <f>H84+H89+H86</f>
        <v>2877.1400000000003</v>
      </c>
      <c r="L84"/>
    </row>
    <row r="85" spans="1:12" ht="18.75">
      <c r="A85" s="290"/>
      <c r="B85" s="290" t="s">
        <v>890</v>
      </c>
      <c r="C85" s="316">
        <v>16408.21</v>
      </c>
      <c r="D85" s="290"/>
      <c r="E85" s="290"/>
      <c r="F85" s="290">
        <v>1995</v>
      </c>
      <c r="G85" s="290" t="s">
        <v>891</v>
      </c>
      <c r="H85" s="316">
        <v>950</v>
      </c>
      <c r="I85" s="290"/>
      <c r="J85" s="290">
        <v>1995</v>
      </c>
      <c r="K85" s="357">
        <f>H85</f>
        <v>950</v>
      </c>
      <c r="L85"/>
    </row>
    <row r="86" spans="1:12" ht="18.75">
      <c r="A86" s="290"/>
      <c r="B86" s="290" t="s">
        <v>892</v>
      </c>
      <c r="C86" s="316">
        <v>9064</v>
      </c>
      <c r="D86" s="290"/>
      <c r="E86" s="290"/>
      <c r="F86" s="290">
        <v>1025</v>
      </c>
      <c r="G86" s="290" t="s">
        <v>893</v>
      </c>
      <c r="H86" s="316">
        <v>1825.45</v>
      </c>
      <c r="I86" s="290"/>
      <c r="J86" s="290"/>
      <c r="K86" s="357">
        <f>SUM(K83:K85)</f>
        <v>7177.14</v>
      </c>
      <c r="L86"/>
    </row>
    <row r="87" spans="1:12" ht="18.75">
      <c r="A87" s="290"/>
      <c r="B87" s="290"/>
      <c r="C87" s="316"/>
      <c r="D87" s="290"/>
      <c r="E87" s="290"/>
      <c r="F87" s="290">
        <v>1014</v>
      </c>
      <c r="G87" s="290" t="s">
        <v>894</v>
      </c>
      <c r="H87" s="316">
        <v>350</v>
      </c>
      <c r="I87" s="290"/>
      <c r="J87" s="290"/>
      <c r="L87"/>
    </row>
    <row r="88" spans="1:12" ht="18.75">
      <c r="A88" s="290"/>
      <c r="B88" s="290"/>
      <c r="C88" s="316"/>
      <c r="D88" s="290"/>
      <c r="E88" s="290"/>
      <c r="F88" s="290">
        <v>1014</v>
      </c>
      <c r="G88" s="290" t="s">
        <v>895</v>
      </c>
      <c r="H88" s="316">
        <v>1500</v>
      </c>
      <c r="I88" s="290"/>
      <c r="J88" s="290"/>
      <c r="L88"/>
    </row>
    <row r="89" spans="1:12" ht="18.75">
      <c r="A89" s="290"/>
      <c r="B89" s="290"/>
      <c r="C89" s="316">
        <v>25472.21</v>
      </c>
      <c r="D89" s="290"/>
      <c r="E89" s="290"/>
      <c r="F89" s="290">
        <v>1025</v>
      </c>
      <c r="G89" s="290" t="s">
        <v>896</v>
      </c>
      <c r="H89" s="316">
        <v>19.690000000000001</v>
      </c>
      <c r="I89" s="290"/>
      <c r="J89" s="290"/>
      <c r="L89"/>
    </row>
    <row r="90" spans="1:12" ht="18.75">
      <c r="A90" s="290"/>
      <c r="B90" s="290"/>
      <c r="C90" s="290"/>
      <c r="D90" s="290"/>
      <c r="E90" s="290"/>
      <c r="F90" s="290"/>
      <c r="G90" s="290"/>
      <c r="H90" s="316">
        <f>SUM(H83:H89)</f>
        <v>7177.1399999999994</v>
      </c>
      <c r="I90" s="290"/>
      <c r="J90" s="290"/>
      <c r="L90"/>
    </row>
    <row r="91" spans="1:12" ht="18.75">
      <c r="A91" s="290"/>
      <c r="B91" s="288" t="s">
        <v>897</v>
      </c>
      <c r="C91" s="290"/>
      <c r="D91" s="290"/>
      <c r="E91" s="290"/>
      <c r="F91" s="290"/>
      <c r="G91" s="288" t="s">
        <v>898</v>
      </c>
      <c r="H91" s="290"/>
      <c r="I91" s="290"/>
      <c r="J91" s="290"/>
      <c r="L91"/>
    </row>
    <row r="92" spans="1:12" ht="18.75">
      <c r="A92" s="290"/>
      <c r="B92" s="290" t="s">
        <v>899</v>
      </c>
      <c r="C92" s="320">
        <v>3692.71</v>
      </c>
      <c r="D92" s="290"/>
      <c r="E92" s="290"/>
      <c r="F92" s="290"/>
      <c r="G92" s="290"/>
      <c r="H92" s="290"/>
      <c r="I92" s="290"/>
      <c r="J92" s="290"/>
      <c r="L92"/>
    </row>
    <row r="93" spans="1:12" ht="18.75">
      <c r="A93" s="290"/>
      <c r="B93" s="290" t="s">
        <v>900</v>
      </c>
      <c r="C93" s="316">
        <v>117138.9</v>
      </c>
      <c r="D93" s="290"/>
      <c r="E93" s="290"/>
      <c r="F93" s="290">
        <v>1005</v>
      </c>
      <c r="G93" s="290" t="s">
        <v>901</v>
      </c>
      <c r="H93" s="311">
        <v>89.94</v>
      </c>
      <c r="I93" s="290"/>
      <c r="J93" s="359">
        <v>1005</v>
      </c>
      <c r="K93" s="360">
        <f>H93+H94+H97</f>
        <v>1639.94</v>
      </c>
      <c r="L93" s="358"/>
    </row>
    <row r="94" spans="1:12" ht="18.75">
      <c r="A94" s="288"/>
      <c r="B94" s="288"/>
      <c r="C94" s="288"/>
      <c r="D94" s="288"/>
      <c r="E94" s="288"/>
      <c r="F94" s="290">
        <v>1005</v>
      </c>
      <c r="G94" s="290" t="s">
        <v>902</v>
      </c>
      <c r="H94" s="311">
        <v>750</v>
      </c>
      <c r="I94" s="288"/>
      <c r="J94" s="288">
        <v>1027</v>
      </c>
      <c r="K94" s="360">
        <f>H95</f>
        <v>3680.67</v>
      </c>
      <c r="L94" s="358"/>
    </row>
    <row r="95" spans="1:12" ht="18.75">
      <c r="A95" s="290"/>
      <c r="B95" s="288" t="s">
        <v>903</v>
      </c>
      <c r="C95" s="290"/>
      <c r="D95" s="290"/>
      <c r="E95" s="290"/>
      <c r="F95" s="290">
        <v>1027</v>
      </c>
      <c r="G95" s="290" t="s">
        <v>904</v>
      </c>
      <c r="H95" s="311">
        <v>3680.67</v>
      </c>
      <c r="I95" s="290"/>
      <c r="J95" s="290">
        <v>1087</v>
      </c>
      <c r="K95" s="360">
        <f>H96+H104+H105+H103</f>
        <v>5842.24</v>
      </c>
      <c r="L95" s="358"/>
    </row>
    <row r="96" spans="1:12" ht="18.75">
      <c r="A96" s="290"/>
      <c r="B96" s="290" t="s">
        <v>905</v>
      </c>
      <c r="C96" s="316">
        <v>17600</v>
      </c>
      <c r="D96" s="290" t="s">
        <v>760</v>
      </c>
      <c r="E96" s="290"/>
      <c r="F96" s="290">
        <v>1087</v>
      </c>
      <c r="G96" s="290" t="s">
        <v>906</v>
      </c>
      <c r="H96" s="316">
        <v>2336.3200000000002</v>
      </c>
      <c r="I96" s="290"/>
      <c r="J96" s="290">
        <v>1016</v>
      </c>
      <c r="K96" s="360">
        <f>H98</f>
        <v>61.96</v>
      </c>
      <c r="L96" s="358"/>
    </row>
    <row r="97" spans="1:12" ht="18.75">
      <c r="A97" s="290"/>
      <c r="B97" s="290" t="s">
        <v>907</v>
      </c>
      <c r="C97" s="316">
        <v>1400</v>
      </c>
      <c r="D97" s="290" t="s">
        <v>760</v>
      </c>
      <c r="E97" s="290"/>
      <c r="F97" s="290">
        <v>1005</v>
      </c>
      <c r="G97" s="290" t="s">
        <v>908</v>
      </c>
      <c r="H97" s="311">
        <v>800</v>
      </c>
      <c r="I97" s="290"/>
      <c r="J97" s="290">
        <v>1025</v>
      </c>
      <c r="K97" s="360">
        <f>H99+H100</f>
        <v>873.92</v>
      </c>
      <c r="L97" s="358"/>
    </row>
    <row r="98" spans="1:12" ht="18.75">
      <c r="A98" s="290"/>
      <c r="B98" s="290"/>
      <c r="C98" s="316">
        <v>19000</v>
      </c>
      <c r="D98" s="290"/>
      <c r="E98" s="290"/>
      <c r="F98" s="290">
        <v>1016</v>
      </c>
      <c r="G98" s="290" t="s">
        <v>909</v>
      </c>
      <c r="H98" s="311">
        <v>61.96</v>
      </c>
      <c r="I98" s="290"/>
      <c r="J98" s="290">
        <v>1065</v>
      </c>
      <c r="K98" s="360">
        <f>H101</f>
        <v>69.97</v>
      </c>
      <c r="L98" s="358"/>
    </row>
    <row r="99" spans="1:12" ht="18.75">
      <c r="A99" s="290"/>
      <c r="B99" s="288" t="s">
        <v>910</v>
      </c>
      <c r="C99" s="290"/>
      <c r="D99" s="290"/>
      <c r="E99" s="290"/>
      <c r="F99" s="290">
        <v>1025</v>
      </c>
      <c r="G99" s="290" t="s">
        <v>909</v>
      </c>
      <c r="H99" s="311">
        <v>123.92</v>
      </c>
      <c r="I99" s="290"/>
      <c r="J99" s="290">
        <v>1039</v>
      </c>
      <c r="K99" s="360">
        <f>H102</f>
        <v>488</v>
      </c>
      <c r="L99" s="358"/>
    </row>
    <row r="100" spans="1:12" ht="18.75">
      <c r="A100" s="290"/>
      <c r="B100" s="288"/>
      <c r="C100" s="290"/>
      <c r="D100" s="290"/>
      <c r="E100" s="290"/>
      <c r="F100" s="290">
        <v>1025</v>
      </c>
      <c r="G100" s="290" t="s">
        <v>911</v>
      </c>
      <c r="H100" s="311">
        <v>750</v>
      </c>
      <c r="I100" s="290"/>
      <c r="J100" s="290">
        <v>1078</v>
      </c>
      <c r="K100" s="357">
        <f>H103</f>
        <v>1527.94</v>
      </c>
      <c r="L100" s="358"/>
    </row>
    <row r="101" spans="1:12" ht="18.75">
      <c r="A101" s="290"/>
      <c r="B101" s="290" t="s">
        <v>912</v>
      </c>
      <c r="C101" s="316">
        <v>8795.01</v>
      </c>
      <c r="D101" s="290"/>
      <c r="E101" s="290"/>
      <c r="F101" s="290">
        <v>1065</v>
      </c>
      <c r="G101" s="290" t="s">
        <v>909</v>
      </c>
      <c r="H101" s="311">
        <v>69.97</v>
      </c>
      <c r="I101" s="290"/>
      <c r="J101" s="290"/>
      <c r="L101"/>
    </row>
    <row r="102" spans="1:12" ht="18.75">
      <c r="A102" s="288"/>
      <c r="B102" s="290" t="s">
        <v>913</v>
      </c>
      <c r="C102" s="316">
        <v>1080</v>
      </c>
      <c r="D102" s="290" t="s">
        <v>914</v>
      </c>
      <c r="E102" s="290"/>
      <c r="F102" s="290">
        <v>1039</v>
      </c>
      <c r="G102" s="290" t="s">
        <v>915</v>
      </c>
      <c r="H102" s="311">
        <v>488</v>
      </c>
      <c r="I102" s="288"/>
      <c r="J102" s="288"/>
      <c r="L102"/>
    </row>
    <row r="103" spans="1:12" ht="18.75">
      <c r="A103" s="321"/>
      <c r="B103" s="321"/>
      <c r="C103" s="157">
        <v>9875.01</v>
      </c>
      <c r="D103" s="321"/>
      <c r="E103" s="321"/>
      <c r="F103" s="290">
        <v>1087</v>
      </c>
      <c r="G103" s="290" t="s">
        <v>916</v>
      </c>
      <c r="H103" s="352">
        <v>1527.94</v>
      </c>
      <c r="I103" s="321"/>
      <c r="J103" s="321"/>
      <c r="L103"/>
    </row>
    <row r="104" spans="1:12" ht="18.75">
      <c r="A104" s="321"/>
      <c r="B104" s="288" t="s">
        <v>917</v>
      </c>
      <c r="C104" s="321"/>
      <c r="D104" s="321"/>
      <c r="E104" s="321"/>
      <c r="F104" s="290">
        <v>1087</v>
      </c>
      <c r="G104" s="290" t="s">
        <v>918</v>
      </c>
      <c r="H104" s="352">
        <v>1950</v>
      </c>
      <c r="I104" s="321"/>
      <c r="J104" s="321"/>
      <c r="L104"/>
    </row>
    <row r="105" spans="1:12" ht="18.75">
      <c r="A105" s="321"/>
      <c r="B105" s="290" t="s">
        <v>919</v>
      </c>
      <c r="C105" s="316">
        <v>363.8</v>
      </c>
      <c r="D105" s="290">
        <v>1005</v>
      </c>
      <c r="E105" s="316">
        <f>C105+C107+C108</f>
        <v>1663.8</v>
      </c>
      <c r="F105" s="290">
        <v>1087</v>
      </c>
      <c r="G105" s="290" t="s">
        <v>920</v>
      </c>
      <c r="H105" s="352">
        <v>27.98</v>
      </c>
      <c r="I105" s="321"/>
      <c r="J105" s="321"/>
      <c r="L105"/>
    </row>
    <row r="106" spans="1:12" ht="18.75">
      <c r="A106" s="321"/>
      <c r="B106" s="290" t="s">
        <v>921</v>
      </c>
      <c r="C106" s="316">
        <v>100</v>
      </c>
      <c r="D106" s="290">
        <v>1025</v>
      </c>
      <c r="E106" s="316">
        <f>C106</f>
        <v>100</v>
      </c>
      <c r="F106" s="290"/>
      <c r="G106" s="290"/>
      <c r="H106" s="315">
        <v>11606.7</v>
      </c>
      <c r="I106" s="321"/>
      <c r="J106" s="321"/>
      <c r="L106"/>
    </row>
    <row r="107" spans="1:12" ht="18.75">
      <c r="A107" s="321"/>
      <c r="B107" s="290" t="s">
        <v>922</v>
      </c>
      <c r="C107" s="316">
        <v>500</v>
      </c>
      <c r="D107" s="290">
        <v>1005</v>
      </c>
      <c r="E107" s="290"/>
      <c r="F107" s="290"/>
      <c r="G107" s="288" t="s">
        <v>923</v>
      </c>
      <c r="H107" s="290"/>
      <c r="I107" s="321"/>
      <c r="J107" s="321"/>
      <c r="L107"/>
    </row>
    <row r="108" spans="1:12" ht="18.75">
      <c r="A108" s="322"/>
      <c r="B108" s="290" t="s">
        <v>766</v>
      </c>
      <c r="C108" s="316">
        <v>800</v>
      </c>
      <c r="D108" s="290">
        <v>1005</v>
      </c>
      <c r="E108" s="290"/>
      <c r="F108" s="323"/>
      <c r="G108" s="323"/>
      <c r="H108" s="348">
        <f>16926.26/9*12</f>
        <v>22568.346666666665</v>
      </c>
      <c r="I108" s="322"/>
      <c r="J108" s="322"/>
      <c r="L108"/>
    </row>
    <row r="109" spans="1:12" ht="18">
      <c r="B109" s="324"/>
      <c r="C109" s="325">
        <v>1763.8</v>
      </c>
      <c r="D109" s="324"/>
      <c r="E109" s="324"/>
      <c r="F109" s="324"/>
      <c r="G109" s="324"/>
      <c r="H109" s="324"/>
      <c r="L109"/>
    </row>
    <row r="110" spans="1:12" ht="18">
      <c r="B110" s="324"/>
      <c r="C110" s="324"/>
      <c r="D110" s="324"/>
      <c r="E110" s="324"/>
      <c r="F110" s="324"/>
      <c r="G110" s="324"/>
      <c r="H110" s="324"/>
      <c r="L110"/>
    </row>
    <row r="111" spans="1:12" ht="15">
      <c r="A111" s="326" t="s">
        <v>924</v>
      </c>
      <c r="B111" s="327" t="s">
        <v>925</v>
      </c>
      <c r="C111" s="327" t="s">
        <v>926</v>
      </c>
      <c r="D111" s="327" t="s">
        <v>927</v>
      </c>
      <c r="E111" s="327"/>
      <c r="F111" s="327" t="s">
        <v>926</v>
      </c>
      <c r="G111" s="327" t="s">
        <v>927</v>
      </c>
      <c r="H111" s="327" t="s">
        <v>926</v>
      </c>
      <c r="I111" s="327" t="s">
        <v>927</v>
      </c>
      <c r="J111" s="327" t="s">
        <v>926</v>
      </c>
      <c r="K111" s="327" t="s">
        <v>927</v>
      </c>
      <c r="L111" s="327" t="s">
        <v>928</v>
      </c>
    </row>
    <row r="112" spans="1:12" ht="15">
      <c r="A112" s="328">
        <v>2025</v>
      </c>
      <c r="B112" s="329" t="s">
        <v>929</v>
      </c>
      <c r="C112" s="330" t="s">
        <v>930</v>
      </c>
      <c r="D112" s="331">
        <v>100</v>
      </c>
      <c r="E112" s="331"/>
      <c r="F112" s="330" t="s">
        <v>931</v>
      </c>
      <c r="G112" s="329" t="s">
        <v>84</v>
      </c>
      <c r="H112" s="330" t="s">
        <v>84</v>
      </c>
      <c r="I112" s="329" t="s">
        <v>84</v>
      </c>
      <c r="J112" s="330" t="s">
        <v>932</v>
      </c>
      <c r="K112" s="331">
        <v>200</v>
      </c>
      <c r="L112" s="332">
        <v>300</v>
      </c>
    </row>
    <row r="113" spans="1:12" ht="15">
      <c r="A113" s="333">
        <v>2025</v>
      </c>
      <c r="B113" s="334" t="s">
        <v>933</v>
      </c>
      <c r="C113" s="335" t="s">
        <v>930</v>
      </c>
      <c r="D113" s="336">
        <v>100</v>
      </c>
      <c r="E113" s="336"/>
      <c r="F113" s="335" t="s">
        <v>931</v>
      </c>
      <c r="G113" s="334" t="s">
        <v>84</v>
      </c>
      <c r="H113" s="335" t="s">
        <v>84</v>
      </c>
      <c r="I113" s="334" t="s">
        <v>84</v>
      </c>
      <c r="J113" s="335" t="s">
        <v>84</v>
      </c>
      <c r="K113" s="334" t="s">
        <v>84</v>
      </c>
      <c r="L113" s="332">
        <v>100</v>
      </c>
    </row>
    <row r="114" spans="1:12" ht="15">
      <c r="A114" s="328">
        <v>2025</v>
      </c>
      <c r="B114" s="329" t="s">
        <v>934</v>
      </c>
      <c r="C114" s="330" t="s">
        <v>930</v>
      </c>
      <c r="D114" s="331">
        <v>100</v>
      </c>
      <c r="E114" s="331"/>
      <c r="F114" s="330" t="s">
        <v>931</v>
      </c>
      <c r="G114" s="329" t="s">
        <v>84</v>
      </c>
      <c r="H114" s="330" t="s">
        <v>84</v>
      </c>
      <c r="I114" s="329" t="s">
        <v>84</v>
      </c>
      <c r="J114" s="330" t="s">
        <v>935</v>
      </c>
      <c r="K114" s="331">
        <v>700</v>
      </c>
      <c r="L114" s="332">
        <v>800</v>
      </c>
    </row>
    <row r="115" spans="1:12" ht="15">
      <c r="A115" s="333">
        <v>2026</v>
      </c>
      <c r="B115" s="334" t="s">
        <v>936</v>
      </c>
      <c r="C115" s="335" t="s">
        <v>930</v>
      </c>
      <c r="D115" s="336">
        <v>100</v>
      </c>
      <c r="E115" s="336"/>
      <c r="F115" s="335" t="s">
        <v>931</v>
      </c>
      <c r="G115" s="334" t="s">
        <v>84</v>
      </c>
      <c r="H115" s="335" t="s">
        <v>937</v>
      </c>
      <c r="I115" s="334" t="s">
        <v>938</v>
      </c>
      <c r="J115" s="335" t="s">
        <v>84</v>
      </c>
      <c r="K115" s="334" t="s">
        <v>84</v>
      </c>
      <c r="L115" s="332">
        <v>200</v>
      </c>
    </row>
    <row r="116" spans="1:12" ht="15">
      <c r="A116" s="328">
        <v>2026</v>
      </c>
      <c r="B116" s="329" t="s">
        <v>939</v>
      </c>
      <c r="C116" s="330" t="s">
        <v>930</v>
      </c>
      <c r="D116" s="331">
        <v>100</v>
      </c>
      <c r="E116" s="331"/>
      <c r="F116" s="330" t="s">
        <v>931</v>
      </c>
      <c r="G116" s="329" t="s">
        <v>84</v>
      </c>
      <c r="H116" s="330" t="s">
        <v>937</v>
      </c>
      <c r="I116" s="329" t="s">
        <v>938</v>
      </c>
      <c r="J116" s="330" t="s">
        <v>84</v>
      </c>
      <c r="K116" s="329" t="s">
        <v>84</v>
      </c>
      <c r="L116" s="332">
        <v>200</v>
      </c>
    </row>
    <row r="117" spans="1:12" ht="15">
      <c r="A117" s="333">
        <v>2026</v>
      </c>
      <c r="B117" s="334" t="s">
        <v>940</v>
      </c>
      <c r="C117" s="335" t="s">
        <v>930</v>
      </c>
      <c r="D117" s="336">
        <v>100</v>
      </c>
      <c r="E117" s="336"/>
      <c r="F117" s="335" t="s">
        <v>931</v>
      </c>
      <c r="G117" s="336">
        <v>100</v>
      </c>
      <c r="H117" s="335" t="s">
        <v>937</v>
      </c>
      <c r="I117" s="334" t="s">
        <v>938</v>
      </c>
      <c r="J117" s="335" t="s">
        <v>84</v>
      </c>
      <c r="K117" s="334" t="s">
        <v>84</v>
      </c>
      <c r="L117" s="332">
        <v>300</v>
      </c>
    </row>
    <row r="118" spans="1:12" ht="15">
      <c r="A118" s="328">
        <v>2026</v>
      </c>
      <c r="B118" s="329" t="s">
        <v>941</v>
      </c>
      <c r="C118" s="330" t="s">
        <v>930</v>
      </c>
      <c r="D118" s="331">
        <v>100</v>
      </c>
      <c r="E118" s="331"/>
      <c r="F118" s="330" t="s">
        <v>931</v>
      </c>
      <c r="G118" s="331">
        <v>400</v>
      </c>
      <c r="H118" s="330" t="s">
        <v>937</v>
      </c>
      <c r="I118" s="329" t="s">
        <v>938</v>
      </c>
      <c r="J118" s="330" t="s">
        <v>84</v>
      </c>
      <c r="K118" s="329" t="s">
        <v>84</v>
      </c>
      <c r="L118" s="332">
        <v>600</v>
      </c>
    </row>
    <row r="119" spans="1:12" ht="15">
      <c r="A119" s="333">
        <v>2026</v>
      </c>
      <c r="B119" s="334" t="s">
        <v>942</v>
      </c>
      <c r="C119" s="335" t="s">
        <v>930</v>
      </c>
      <c r="D119" s="336">
        <v>100</v>
      </c>
      <c r="E119" s="336"/>
      <c r="F119" s="335" t="s">
        <v>931</v>
      </c>
      <c r="G119" s="334" t="s">
        <v>84</v>
      </c>
      <c r="H119" s="335" t="s">
        <v>937</v>
      </c>
      <c r="I119" s="334" t="s">
        <v>938</v>
      </c>
      <c r="J119" s="335" t="s">
        <v>84</v>
      </c>
      <c r="K119" s="334" t="s">
        <v>84</v>
      </c>
      <c r="L119" s="332">
        <v>200</v>
      </c>
    </row>
    <row r="120" spans="1:12" ht="15">
      <c r="A120" s="328">
        <v>2026</v>
      </c>
      <c r="B120" s="329" t="s">
        <v>943</v>
      </c>
      <c r="C120" s="330" t="s">
        <v>930</v>
      </c>
      <c r="D120" s="331">
        <v>100</v>
      </c>
      <c r="E120" s="331"/>
      <c r="F120" s="330" t="s">
        <v>931</v>
      </c>
      <c r="G120" s="331">
        <v>100</v>
      </c>
      <c r="H120" s="330" t="s">
        <v>937</v>
      </c>
      <c r="I120" s="329" t="s">
        <v>938</v>
      </c>
      <c r="J120" s="330" t="s">
        <v>84</v>
      </c>
      <c r="K120" s="329" t="s">
        <v>84</v>
      </c>
      <c r="L120" s="332">
        <v>300</v>
      </c>
    </row>
    <row r="121" spans="1:12" ht="15">
      <c r="A121" s="333">
        <v>2026</v>
      </c>
      <c r="B121" s="334" t="s">
        <v>944</v>
      </c>
      <c r="C121" s="335" t="s">
        <v>930</v>
      </c>
      <c r="D121" s="336">
        <v>100</v>
      </c>
      <c r="E121" s="336"/>
      <c r="F121" s="335" t="s">
        <v>931</v>
      </c>
      <c r="G121" s="336">
        <v>100</v>
      </c>
      <c r="H121" s="335" t="s">
        <v>937</v>
      </c>
      <c r="I121" s="334" t="s">
        <v>938</v>
      </c>
      <c r="J121" s="335" t="s">
        <v>945</v>
      </c>
      <c r="K121" s="336">
        <v>700</v>
      </c>
      <c r="L121" s="332">
        <v>1000</v>
      </c>
    </row>
    <row r="122" spans="1:12" ht="15">
      <c r="A122" s="328">
        <v>2026</v>
      </c>
      <c r="B122" s="329" t="s">
        <v>946</v>
      </c>
      <c r="C122" s="330" t="s">
        <v>930</v>
      </c>
      <c r="D122" s="331">
        <v>100</v>
      </c>
      <c r="E122" s="331"/>
      <c r="F122" s="330" t="s">
        <v>931</v>
      </c>
      <c r="G122" s="331">
        <v>250</v>
      </c>
      <c r="H122" s="330" t="s">
        <v>937</v>
      </c>
      <c r="I122" s="329" t="s">
        <v>938</v>
      </c>
      <c r="J122" s="330" t="s">
        <v>84</v>
      </c>
      <c r="K122" s="329" t="s">
        <v>84</v>
      </c>
      <c r="L122" s="332">
        <v>450</v>
      </c>
    </row>
    <row r="123" spans="1:12" ht="15">
      <c r="A123" s="333">
        <v>2026</v>
      </c>
      <c r="B123" s="334" t="s">
        <v>947</v>
      </c>
      <c r="C123" s="335" t="s">
        <v>930</v>
      </c>
      <c r="D123" s="336">
        <v>100</v>
      </c>
      <c r="E123" s="336"/>
      <c r="F123" s="335" t="s">
        <v>931</v>
      </c>
      <c r="G123" s="334" t="s">
        <v>84</v>
      </c>
      <c r="H123" s="335" t="s">
        <v>937</v>
      </c>
      <c r="I123" s="334" t="s">
        <v>938</v>
      </c>
      <c r="J123" s="335" t="s">
        <v>84</v>
      </c>
      <c r="K123" s="334" t="s">
        <v>84</v>
      </c>
      <c r="L123" s="332">
        <v>200</v>
      </c>
    </row>
    <row r="124" spans="1:12" ht="15">
      <c r="A124" s="328">
        <v>2026</v>
      </c>
      <c r="B124" s="329" t="s">
        <v>929</v>
      </c>
      <c r="C124" s="330" t="s">
        <v>930</v>
      </c>
      <c r="D124" s="331">
        <v>100</v>
      </c>
      <c r="E124" s="331"/>
      <c r="F124" s="330" t="s">
        <v>931</v>
      </c>
      <c r="G124" s="329" t="s">
        <v>84</v>
      </c>
      <c r="H124" s="330" t="s">
        <v>937</v>
      </c>
      <c r="I124" s="329" t="s">
        <v>938</v>
      </c>
      <c r="J124" s="330" t="s">
        <v>84</v>
      </c>
      <c r="K124" s="329" t="s">
        <v>84</v>
      </c>
      <c r="L124" s="332">
        <v>200</v>
      </c>
    </row>
    <row r="125" spans="1:12" ht="15">
      <c r="A125" s="333">
        <v>2026</v>
      </c>
      <c r="B125" s="334" t="s">
        <v>933</v>
      </c>
      <c r="C125" s="335" t="s">
        <v>930</v>
      </c>
      <c r="D125" s="336">
        <v>100</v>
      </c>
      <c r="E125" s="336"/>
      <c r="F125" s="335" t="s">
        <v>931</v>
      </c>
      <c r="G125" s="336">
        <v>100</v>
      </c>
      <c r="H125" s="335" t="s">
        <v>937</v>
      </c>
      <c r="I125" s="334" t="s">
        <v>938</v>
      </c>
      <c r="J125" s="335" t="s">
        <v>948</v>
      </c>
      <c r="K125" s="336">
        <v>700</v>
      </c>
      <c r="L125" s="332">
        <v>1000</v>
      </c>
    </row>
    <row r="126" spans="1:12" ht="15">
      <c r="A126" s="328">
        <v>2026</v>
      </c>
      <c r="B126" s="329" t="s">
        <v>934</v>
      </c>
      <c r="C126" s="330" t="s">
        <v>930</v>
      </c>
      <c r="D126" s="331">
        <v>100</v>
      </c>
      <c r="E126" s="331"/>
      <c r="F126" s="330" t="s">
        <v>931</v>
      </c>
      <c r="G126" s="329" t="s">
        <v>84</v>
      </c>
      <c r="H126" s="330" t="s">
        <v>937</v>
      </c>
      <c r="I126" s="329" t="s">
        <v>938</v>
      </c>
      <c r="J126" s="330" t="s">
        <v>949</v>
      </c>
      <c r="K126" s="331">
        <v>500</v>
      </c>
      <c r="L126" s="332">
        <v>700</v>
      </c>
    </row>
    <row r="127" spans="1:12" ht="15">
      <c r="A127" s="337"/>
      <c r="C127"/>
      <c r="D127"/>
      <c r="E127"/>
      <c r="H127"/>
      <c r="L127"/>
    </row>
    <row r="128" spans="1:12" ht="15">
      <c r="A128" s="338" t="s">
        <v>950</v>
      </c>
      <c r="B128" s="338" t="s">
        <v>84</v>
      </c>
      <c r="C128" s="338" t="s">
        <v>84</v>
      </c>
      <c r="D128" s="339">
        <v>1500</v>
      </c>
      <c r="E128" s="339"/>
      <c r="F128" s="338" t="s">
        <v>84</v>
      </c>
      <c r="G128" s="339">
        <v>1050</v>
      </c>
      <c r="H128" s="338" t="s">
        <v>84</v>
      </c>
      <c r="I128" s="338" t="s">
        <v>938</v>
      </c>
      <c r="J128" s="338" t="s">
        <v>84</v>
      </c>
      <c r="K128" s="339">
        <v>2800</v>
      </c>
      <c r="L128" s="340">
        <v>6550</v>
      </c>
    </row>
    <row r="129" spans="2:12" ht="18">
      <c r="B129" s="324"/>
      <c r="C129" s="324"/>
      <c r="D129" s="324"/>
      <c r="E129" s="324"/>
      <c r="F129" s="324"/>
      <c r="G129" s="324"/>
      <c r="H129" s="324"/>
      <c r="L129"/>
    </row>
    <row r="130" spans="2:12" ht="18">
      <c r="B130" s="341" t="s">
        <v>951</v>
      </c>
      <c r="C130" s="324"/>
      <c r="D130" s="324"/>
      <c r="E130" s="324"/>
      <c r="F130" s="324"/>
      <c r="G130" s="324"/>
      <c r="H130" s="324"/>
      <c r="L130"/>
    </row>
    <row r="131" spans="2:12" ht="18">
      <c r="B131" s="324" t="s">
        <v>952</v>
      </c>
      <c r="C131" s="325">
        <v>896</v>
      </c>
      <c r="D131" s="324">
        <v>1005</v>
      </c>
      <c r="E131" s="324"/>
      <c r="F131" s="324"/>
      <c r="G131" s="324"/>
      <c r="H131" s="324"/>
      <c r="L131"/>
    </row>
    <row r="132" spans="2:12" ht="18">
      <c r="B132" s="324" t="s">
        <v>953</v>
      </c>
      <c r="C132" s="325">
        <v>600</v>
      </c>
      <c r="D132" s="324">
        <v>1014</v>
      </c>
      <c r="E132" s="324"/>
      <c r="F132" s="324"/>
      <c r="G132" s="324"/>
      <c r="H132" s="324"/>
      <c r="L132"/>
    </row>
    <row r="133" spans="2:12" ht="18">
      <c r="B133" s="324" t="s">
        <v>954</v>
      </c>
      <c r="C133" s="325">
        <v>615</v>
      </c>
      <c r="D133" s="324">
        <v>1025</v>
      </c>
      <c r="E133" s="324"/>
      <c r="F133" s="324"/>
      <c r="G133" s="324"/>
      <c r="H133" s="324"/>
      <c r="L133"/>
    </row>
    <row r="134" spans="2:12" ht="18">
      <c r="B134" s="324" t="s">
        <v>955</v>
      </c>
      <c r="C134" s="325">
        <v>777</v>
      </c>
      <c r="D134" s="324">
        <v>1999</v>
      </c>
      <c r="E134" s="324"/>
      <c r="F134" s="324"/>
      <c r="G134" s="324"/>
      <c r="H134" s="324"/>
      <c r="L134"/>
    </row>
    <row r="135" spans="2:12" ht="18">
      <c r="B135" s="324" t="s">
        <v>766</v>
      </c>
      <c r="C135" s="325">
        <v>312</v>
      </c>
      <c r="D135" s="324">
        <v>1995</v>
      </c>
      <c r="E135" s="324"/>
      <c r="F135" s="324"/>
      <c r="G135" s="324"/>
      <c r="H135" s="324"/>
      <c r="L135"/>
    </row>
    <row r="136" spans="2:12" ht="18">
      <c r="B136" s="324"/>
      <c r="C136" s="324"/>
      <c r="D136" s="324"/>
      <c r="E136" s="324"/>
      <c r="F136" s="324"/>
      <c r="G136" s="324"/>
      <c r="H136" s="324"/>
      <c r="L136"/>
    </row>
    <row r="137" spans="2:12" ht="18">
      <c r="B137" s="324"/>
      <c r="C137" s="325">
        <v>3200</v>
      </c>
      <c r="D137" s="324"/>
      <c r="E137" s="324"/>
      <c r="F137" s="324"/>
      <c r="G137" s="324"/>
      <c r="H137" s="324"/>
      <c r="L137"/>
    </row>
    <row r="138" spans="2:12" ht="18">
      <c r="B138" s="324"/>
      <c r="C138" s="324"/>
      <c r="D138" s="324"/>
      <c r="E138" s="324"/>
      <c r="F138" s="324"/>
      <c r="G138" s="324"/>
      <c r="H138" s="324"/>
      <c r="L138"/>
    </row>
    <row r="139" spans="2:12" ht="18">
      <c r="B139" s="324" t="s">
        <v>956</v>
      </c>
      <c r="C139" s="324"/>
      <c r="D139" s="324"/>
      <c r="E139" s="324"/>
      <c r="F139" s="324"/>
      <c r="G139" s="324"/>
      <c r="H139" s="324"/>
      <c r="L139"/>
    </row>
    <row r="140" spans="2:12" ht="18">
      <c r="B140" s="324"/>
      <c r="C140" s="324"/>
      <c r="D140" s="324"/>
      <c r="E140" s="324"/>
      <c r="F140" s="324"/>
      <c r="G140" s="324"/>
      <c r="H140" s="324"/>
      <c r="L140"/>
    </row>
    <row r="141" spans="2:12" ht="18">
      <c r="B141" s="324"/>
      <c r="C141" s="324"/>
      <c r="D141" s="324"/>
      <c r="E141" s="324"/>
      <c r="F141" s="324"/>
      <c r="G141" s="324"/>
      <c r="H141" s="324"/>
      <c r="L141"/>
    </row>
    <row r="142" spans="2:12" ht="18">
      <c r="B142" s="324"/>
      <c r="C142" s="324"/>
      <c r="D142" s="324"/>
      <c r="E142" s="324"/>
      <c r="F142" s="324"/>
      <c r="G142" s="324"/>
      <c r="H142" s="324"/>
      <c r="L142"/>
    </row>
    <row r="143" spans="2:12" ht="18">
      <c r="B143" s="324"/>
      <c r="C143" s="324"/>
      <c r="D143" s="324"/>
      <c r="E143" s="324"/>
      <c r="F143" s="324"/>
      <c r="G143" s="324"/>
      <c r="H143" s="324"/>
      <c r="L143"/>
    </row>
    <row r="144" spans="2:12" ht="18">
      <c r="B144" s="324"/>
      <c r="C144" s="324"/>
      <c r="D144" s="324"/>
      <c r="E144" s="324"/>
      <c r="F144" s="324"/>
      <c r="G144" s="324"/>
      <c r="H144" s="324"/>
      <c r="L144"/>
    </row>
    <row r="145" spans="2:12" ht="18">
      <c r="B145" s="324"/>
      <c r="C145" s="324"/>
      <c r="D145" s="324"/>
      <c r="E145" s="324"/>
      <c r="F145" s="324"/>
      <c r="G145" s="324"/>
      <c r="H145" s="324"/>
      <c r="L145"/>
    </row>
    <row r="146" spans="2:12" ht="18">
      <c r="B146" s="324"/>
      <c r="C146" s="324"/>
      <c r="D146" s="324"/>
      <c r="E146" s="324"/>
      <c r="F146" s="324"/>
      <c r="G146" s="324"/>
      <c r="H146" s="324"/>
      <c r="L146"/>
    </row>
    <row r="147" spans="2:12" ht="18">
      <c r="B147" s="324"/>
      <c r="C147" s="324"/>
      <c r="D147" s="324"/>
      <c r="E147" s="324"/>
      <c r="F147" s="324"/>
      <c r="G147" s="324"/>
      <c r="H147" s="324"/>
      <c r="L147"/>
    </row>
    <row r="148" spans="2:12" ht="18">
      <c r="B148" s="324"/>
      <c r="C148" s="324"/>
      <c r="D148" s="324"/>
      <c r="E148" s="324"/>
      <c r="F148" s="324"/>
      <c r="G148" s="324"/>
      <c r="H148" s="324"/>
      <c r="L148"/>
    </row>
    <row r="149" spans="2:12" ht="18">
      <c r="B149" s="324"/>
      <c r="C149" s="324"/>
      <c r="D149" s="324"/>
      <c r="E149" s="324"/>
      <c r="F149" s="324"/>
      <c r="G149" s="324"/>
      <c r="H149" s="324"/>
      <c r="L149"/>
    </row>
    <row r="150" spans="2:12" ht="18">
      <c r="B150" s="324"/>
      <c r="C150" s="324"/>
      <c r="D150" s="324"/>
      <c r="E150" s="324"/>
      <c r="F150" s="324"/>
      <c r="G150" s="324"/>
      <c r="H150" s="324"/>
      <c r="L150"/>
    </row>
    <row r="151" spans="2:12" ht="18">
      <c r="B151" s="324"/>
      <c r="C151" s="324"/>
      <c r="D151" s="324"/>
      <c r="E151" s="324"/>
      <c r="F151" s="324"/>
      <c r="G151" s="324"/>
      <c r="H151" s="324"/>
      <c r="L151"/>
    </row>
    <row r="152" spans="2:12" ht="18">
      <c r="B152" s="324"/>
      <c r="C152" s="324"/>
      <c r="D152" s="324"/>
      <c r="E152" s="324"/>
      <c r="F152" s="324"/>
      <c r="G152" s="324"/>
      <c r="H152" s="324"/>
      <c r="L152"/>
    </row>
    <row r="153" spans="2:12" ht="18">
      <c r="B153" s="324"/>
      <c r="C153" s="324"/>
      <c r="D153" s="324"/>
      <c r="E153" s="324"/>
      <c r="F153" s="324"/>
      <c r="G153" s="324"/>
      <c r="H153" s="324"/>
      <c r="L153"/>
    </row>
    <row r="154" spans="2:12" ht="18">
      <c r="B154" s="324"/>
      <c r="C154" s="324"/>
      <c r="D154" s="324"/>
      <c r="E154" s="324"/>
      <c r="F154" s="324"/>
      <c r="G154" s="324"/>
      <c r="H154" s="324"/>
      <c r="L154"/>
    </row>
    <row r="155" spans="2:12" ht="18">
      <c r="B155" s="324"/>
      <c r="C155" s="324"/>
      <c r="D155" s="324"/>
      <c r="E155" s="324"/>
      <c r="F155" s="324"/>
      <c r="G155" s="324"/>
      <c r="H155" s="324"/>
      <c r="L155"/>
    </row>
    <row r="156" spans="2:12" ht="18">
      <c r="B156" s="324"/>
      <c r="C156" s="324"/>
      <c r="D156" s="324"/>
      <c r="E156" s="324"/>
      <c r="F156" s="324"/>
      <c r="G156" s="324"/>
      <c r="H156" s="324"/>
      <c r="L156"/>
    </row>
    <row r="157" spans="2:12" ht="18">
      <c r="B157" s="324"/>
      <c r="C157" s="324"/>
      <c r="D157" s="324"/>
      <c r="E157" s="324"/>
      <c r="F157" s="324"/>
      <c r="G157" s="324"/>
      <c r="H157" s="324"/>
      <c r="L157"/>
    </row>
    <row r="158" spans="2:12" ht="18">
      <c r="B158" s="324"/>
      <c r="C158" s="324"/>
      <c r="D158" s="324"/>
      <c r="E158" s="324"/>
      <c r="F158" s="324"/>
      <c r="G158" s="324"/>
      <c r="H158" s="324"/>
      <c r="L158"/>
    </row>
    <row r="159" spans="2:12" ht="18">
      <c r="B159" s="324"/>
      <c r="C159" s="324"/>
      <c r="D159" s="324"/>
      <c r="E159" s="324"/>
      <c r="F159" s="324"/>
      <c r="G159" s="324"/>
      <c r="H159" s="324"/>
      <c r="L159"/>
    </row>
    <row r="160" spans="2:12" ht="18">
      <c r="B160" s="324"/>
      <c r="C160" s="324"/>
      <c r="D160" s="324"/>
      <c r="E160" s="324"/>
      <c r="F160" s="324"/>
      <c r="G160" s="324"/>
      <c r="H160" s="324"/>
      <c r="L160"/>
    </row>
    <row r="161" spans="2:12" ht="18">
      <c r="B161" s="324"/>
      <c r="C161" s="324"/>
      <c r="D161" s="324"/>
      <c r="E161" s="324"/>
      <c r="F161" s="324"/>
      <c r="G161" s="324"/>
      <c r="H161" s="324"/>
      <c r="L161"/>
    </row>
    <row r="162" spans="2:12" ht="18">
      <c r="B162" s="324"/>
      <c r="C162" s="324"/>
      <c r="D162" s="324"/>
      <c r="E162" s="324"/>
      <c r="F162" s="324"/>
      <c r="G162" s="324"/>
      <c r="H162" s="324"/>
      <c r="L162"/>
    </row>
    <row r="163" spans="2:12" ht="18">
      <c r="B163" s="324"/>
      <c r="C163" s="324"/>
      <c r="D163" s="324"/>
      <c r="E163" s="324"/>
      <c r="F163" s="324"/>
      <c r="G163" s="324"/>
      <c r="H163" s="324"/>
      <c r="L163"/>
    </row>
    <row r="164" spans="2:12" ht="18">
      <c r="B164" s="324"/>
      <c r="C164" s="324"/>
      <c r="D164" s="324"/>
      <c r="E164" s="324"/>
      <c r="F164" s="324"/>
      <c r="G164" s="324"/>
      <c r="H164" s="324"/>
      <c r="L164"/>
    </row>
    <row r="165" spans="2:12" ht="18">
      <c r="B165" s="324"/>
      <c r="C165" s="324"/>
      <c r="D165" s="324"/>
      <c r="E165" s="324"/>
      <c r="F165" s="324"/>
      <c r="G165" s="324"/>
      <c r="H165" s="324"/>
      <c r="L165"/>
    </row>
    <row r="166" spans="2:12" ht="18">
      <c r="B166" s="324"/>
      <c r="C166" s="324"/>
      <c r="D166" s="324"/>
      <c r="E166" s="324"/>
      <c r="F166" s="324"/>
      <c r="G166" s="324"/>
      <c r="H166" s="324"/>
      <c r="L166"/>
    </row>
    <row r="167" spans="2:12" ht="18">
      <c r="B167" s="324"/>
      <c r="C167" s="324"/>
      <c r="D167" s="324"/>
      <c r="E167" s="324"/>
      <c r="F167" s="324"/>
      <c r="G167" s="324"/>
      <c r="H167" s="324"/>
      <c r="L167"/>
    </row>
    <row r="168" spans="2:12" ht="18">
      <c r="B168" s="324"/>
      <c r="C168" s="324"/>
      <c r="D168" s="324"/>
      <c r="E168" s="324"/>
      <c r="F168" s="324"/>
      <c r="G168" s="324"/>
      <c r="H168" s="324"/>
      <c r="L168"/>
    </row>
    <row r="169" spans="2:12" ht="18">
      <c r="B169" s="324"/>
      <c r="C169" s="324"/>
      <c r="D169" s="324"/>
      <c r="E169" s="324"/>
      <c r="F169" s="324"/>
      <c r="G169" s="324"/>
      <c r="H169" s="324"/>
      <c r="L169"/>
    </row>
    <row r="170" spans="2:12" ht="18">
      <c r="B170" s="324"/>
      <c r="C170" s="324"/>
      <c r="D170" s="324"/>
      <c r="E170" s="324"/>
      <c r="F170" s="324"/>
      <c r="G170" s="324"/>
      <c r="H170" s="324"/>
      <c r="L170"/>
    </row>
    <row r="171" spans="2:12" ht="18">
      <c r="B171" s="324"/>
      <c r="C171" s="324"/>
      <c r="D171" s="324"/>
      <c r="E171" s="324"/>
      <c r="F171" s="324"/>
      <c r="G171" s="324"/>
      <c r="H171" s="324"/>
      <c r="L171"/>
    </row>
    <row r="172" spans="2:12" ht="18">
      <c r="B172" s="324"/>
      <c r="C172" s="324"/>
      <c r="D172" s="324"/>
      <c r="E172" s="324"/>
      <c r="F172" s="324"/>
      <c r="G172" s="324"/>
      <c r="H172" s="324"/>
      <c r="L172"/>
    </row>
    <row r="173" spans="2:12" ht="18">
      <c r="B173" s="324"/>
      <c r="C173" s="324"/>
      <c r="D173" s="324"/>
      <c r="E173" s="324"/>
      <c r="F173" s="324"/>
      <c r="G173" s="324"/>
      <c r="H173" s="324"/>
      <c r="L173"/>
    </row>
    <row r="174" spans="2:12" ht="18">
      <c r="B174" s="324"/>
      <c r="C174" s="324"/>
      <c r="D174" s="324"/>
      <c r="E174" s="324"/>
      <c r="F174" s="324"/>
      <c r="G174" s="324"/>
      <c r="H174" s="324"/>
      <c r="L174"/>
    </row>
    <row r="175" spans="2:12" ht="18">
      <c r="B175" s="324"/>
      <c r="C175" s="324"/>
      <c r="D175" s="324"/>
      <c r="E175" s="324"/>
      <c r="F175" s="324"/>
      <c r="G175" s="324"/>
      <c r="H175" s="324"/>
      <c r="L175"/>
    </row>
    <row r="176" spans="2:12" ht="18">
      <c r="B176" s="324"/>
      <c r="C176" s="324"/>
      <c r="D176" s="324"/>
      <c r="E176" s="324"/>
      <c r="F176" s="324"/>
      <c r="G176" s="324"/>
      <c r="H176" s="324"/>
      <c r="L176"/>
    </row>
    <row r="177" spans="2:12" ht="18">
      <c r="B177" s="324"/>
      <c r="C177" s="324"/>
      <c r="D177" s="324"/>
      <c r="E177" s="324"/>
      <c r="F177" s="324"/>
      <c r="G177" s="324"/>
      <c r="H177" s="324"/>
      <c r="L177"/>
    </row>
    <row r="178" spans="2:12" ht="18">
      <c r="B178" s="324"/>
      <c r="C178" s="324"/>
      <c r="D178" s="324"/>
      <c r="E178" s="324"/>
      <c r="F178" s="324"/>
      <c r="G178" s="324"/>
      <c r="H178" s="324"/>
      <c r="L178"/>
    </row>
    <row r="179" spans="2:12" ht="18">
      <c r="B179" s="324"/>
      <c r="C179" s="324"/>
      <c r="D179" s="324"/>
      <c r="E179" s="324"/>
      <c r="F179" s="324"/>
      <c r="G179" s="324"/>
      <c r="H179" s="324"/>
      <c r="L179"/>
    </row>
    <row r="180" spans="2:12" ht="18">
      <c r="B180" s="324"/>
      <c r="C180" s="324"/>
      <c r="D180" s="324"/>
      <c r="E180" s="324"/>
      <c r="F180" s="324"/>
      <c r="G180" s="324"/>
      <c r="H180" s="324"/>
      <c r="L180"/>
    </row>
    <row r="181" spans="2:12" ht="18">
      <c r="B181" s="324"/>
      <c r="C181" s="324"/>
      <c r="D181" s="324"/>
      <c r="E181" s="324"/>
      <c r="F181" s="324"/>
      <c r="G181" s="324"/>
      <c r="H181" s="324"/>
      <c r="L181"/>
    </row>
    <row r="182" spans="2:12" ht="18">
      <c r="B182" s="324"/>
      <c r="C182" s="324"/>
      <c r="D182" s="324"/>
      <c r="E182" s="324"/>
      <c r="F182" s="324"/>
      <c r="G182" s="324"/>
      <c r="H182" s="324"/>
      <c r="L182"/>
    </row>
    <row r="183" spans="2:12" ht="18">
      <c r="B183" s="324"/>
      <c r="C183" s="324"/>
      <c r="D183" s="324"/>
      <c r="E183" s="324"/>
      <c r="F183" s="324"/>
      <c r="G183" s="324"/>
      <c r="H183" s="324"/>
      <c r="L183"/>
    </row>
    <row r="184" spans="2:12" ht="18">
      <c r="B184" s="324"/>
      <c r="C184" s="324"/>
      <c r="D184" s="324"/>
      <c r="E184" s="324"/>
      <c r="F184" s="324"/>
      <c r="G184" s="324"/>
      <c r="H184" s="324"/>
      <c r="L184"/>
    </row>
    <row r="185" spans="2:12" ht="18">
      <c r="B185" s="324"/>
      <c r="C185" s="324"/>
      <c r="D185" s="324"/>
      <c r="E185" s="324"/>
      <c r="F185" s="324"/>
      <c r="G185" s="324"/>
      <c r="H185" s="324"/>
      <c r="L185"/>
    </row>
    <row r="186" spans="2:12" ht="18">
      <c r="B186" s="324"/>
      <c r="C186" s="324"/>
      <c r="D186" s="324"/>
      <c r="E186" s="324"/>
      <c r="F186" s="324"/>
      <c r="G186" s="324"/>
      <c r="H186" s="324"/>
      <c r="L186"/>
    </row>
    <row r="187" spans="2:12" ht="18">
      <c r="B187" s="324"/>
      <c r="C187" s="324"/>
      <c r="D187" s="324"/>
      <c r="E187" s="324"/>
      <c r="F187" s="324"/>
      <c r="G187" s="324"/>
      <c r="H187" s="324"/>
      <c r="L187"/>
    </row>
    <row r="188" spans="2:12" ht="18">
      <c r="B188" s="324"/>
      <c r="C188" s="324"/>
      <c r="D188" s="324"/>
      <c r="E188" s="324"/>
      <c r="F188" s="324"/>
      <c r="G188" s="324"/>
      <c r="H188" s="324"/>
      <c r="L188"/>
    </row>
    <row r="189" spans="2:12" ht="18">
      <c r="B189" s="324"/>
      <c r="C189" s="324"/>
      <c r="D189" s="324"/>
      <c r="E189" s="324"/>
      <c r="F189" s="324"/>
      <c r="G189" s="324"/>
      <c r="H189" s="324"/>
      <c r="L189"/>
    </row>
    <row r="190" spans="2:12" ht="18">
      <c r="B190" s="324"/>
      <c r="C190" s="324"/>
      <c r="D190" s="324"/>
      <c r="E190" s="324"/>
      <c r="F190" s="324"/>
      <c r="G190" s="324"/>
      <c r="H190" s="324"/>
      <c r="L190"/>
    </row>
    <row r="191" spans="2:12" ht="18">
      <c r="B191" s="324"/>
      <c r="C191" s="324"/>
      <c r="D191" s="324"/>
      <c r="E191" s="324"/>
      <c r="F191" s="324"/>
      <c r="G191" s="324"/>
      <c r="H191" s="324"/>
      <c r="L191"/>
    </row>
    <row r="192" spans="2:12" ht="18">
      <c r="B192" s="324"/>
      <c r="C192" s="324"/>
      <c r="D192" s="324"/>
      <c r="E192" s="324"/>
      <c r="F192" s="324"/>
      <c r="G192" s="324"/>
      <c r="H192" s="324"/>
      <c r="L192"/>
    </row>
    <row r="193" spans="2:12" ht="18">
      <c r="B193" s="324"/>
      <c r="C193" s="324"/>
      <c r="D193" s="324"/>
      <c r="E193" s="324"/>
      <c r="F193" s="324"/>
      <c r="G193" s="324"/>
      <c r="H193" s="324"/>
      <c r="L193"/>
    </row>
    <row r="194" spans="2:12" ht="18">
      <c r="B194" s="324"/>
      <c r="C194" s="324"/>
      <c r="D194" s="324"/>
      <c r="E194" s="324"/>
      <c r="F194" s="324"/>
      <c r="G194" s="324"/>
      <c r="H194" s="324"/>
      <c r="L194"/>
    </row>
    <row r="195" spans="2:12" ht="18">
      <c r="B195" s="324"/>
      <c r="C195" s="324"/>
      <c r="D195" s="324"/>
      <c r="E195" s="324"/>
      <c r="F195" s="324"/>
      <c r="G195" s="324"/>
      <c r="H195" s="324"/>
      <c r="L195"/>
    </row>
    <row r="196" spans="2:12" ht="18">
      <c r="B196" s="324"/>
      <c r="C196" s="324"/>
      <c r="D196" s="324"/>
      <c r="E196" s="324"/>
      <c r="F196" s="324"/>
      <c r="G196" s="324"/>
      <c r="H196" s="324"/>
      <c r="L196"/>
    </row>
    <row r="197" spans="2:12" ht="18">
      <c r="B197" s="324"/>
      <c r="C197" s="324"/>
      <c r="D197" s="324"/>
      <c r="E197" s="324"/>
      <c r="F197" s="324"/>
      <c r="G197" s="324"/>
      <c r="H197" s="324"/>
      <c r="L197"/>
    </row>
    <row r="198" spans="2:12" ht="18">
      <c r="B198" s="324"/>
      <c r="C198" s="324"/>
      <c r="D198" s="324"/>
      <c r="E198" s="324"/>
      <c r="F198" s="324"/>
      <c r="G198" s="324"/>
      <c r="H198" s="324"/>
      <c r="L198"/>
    </row>
    <row r="199" spans="2:12" ht="18">
      <c r="B199" s="324"/>
      <c r="C199" s="324"/>
      <c r="D199" s="324"/>
      <c r="E199" s="324"/>
      <c r="F199" s="324"/>
      <c r="G199" s="324"/>
      <c r="H199" s="324"/>
      <c r="L199"/>
    </row>
    <row r="200" spans="2:12" ht="18">
      <c r="B200" s="324"/>
      <c r="C200" s="324"/>
      <c r="D200" s="324"/>
      <c r="E200" s="324"/>
      <c r="F200" s="324"/>
      <c r="G200" s="324"/>
      <c r="H200" s="324"/>
      <c r="L200"/>
    </row>
    <row r="201" spans="2:12" ht="18">
      <c r="B201" s="324"/>
      <c r="C201" s="324"/>
      <c r="D201" s="324"/>
      <c r="E201" s="324"/>
      <c r="F201" s="324"/>
      <c r="G201" s="324"/>
      <c r="H201" s="324"/>
      <c r="L201"/>
    </row>
    <row r="202" spans="2:12" ht="18">
      <c r="B202" s="324"/>
      <c r="C202" s="324"/>
      <c r="D202" s="324"/>
      <c r="E202" s="324"/>
      <c r="F202" s="324"/>
      <c r="G202" s="324"/>
      <c r="H202" s="324"/>
      <c r="L202"/>
    </row>
    <row r="203" spans="2:12" ht="18">
      <c r="B203" s="324"/>
      <c r="C203" s="324"/>
      <c r="D203" s="324"/>
      <c r="E203" s="324"/>
      <c r="F203" s="324"/>
      <c r="G203" s="324"/>
      <c r="H203" s="324"/>
      <c r="L203"/>
    </row>
    <row r="204" spans="2:12" ht="18">
      <c r="B204" s="324"/>
      <c r="C204" s="324"/>
      <c r="D204" s="324"/>
      <c r="E204" s="324"/>
      <c r="F204" s="324"/>
      <c r="G204" s="324"/>
      <c r="H204" s="324"/>
      <c r="L204"/>
    </row>
    <row r="205" spans="2:12" ht="18">
      <c r="B205" s="324"/>
      <c r="C205" s="324"/>
      <c r="D205" s="324"/>
      <c r="E205" s="324"/>
      <c r="F205" s="324"/>
      <c r="G205" s="324"/>
      <c r="H205" s="324"/>
      <c r="L205"/>
    </row>
    <row r="206" spans="2:12" ht="18">
      <c r="B206" s="324"/>
      <c r="C206" s="324"/>
      <c r="D206" s="324"/>
      <c r="E206" s="324"/>
      <c r="F206" s="324"/>
      <c r="G206" s="324"/>
      <c r="H206" s="324"/>
      <c r="L206"/>
    </row>
    <row r="207" spans="2:12" ht="18">
      <c r="B207" s="324"/>
      <c r="C207" s="324"/>
      <c r="D207" s="324"/>
      <c r="E207" s="324"/>
      <c r="F207" s="324"/>
      <c r="G207" s="324"/>
      <c r="H207" s="324"/>
      <c r="L207"/>
    </row>
    <row r="208" spans="2:12" ht="18">
      <c r="B208" s="324"/>
      <c r="C208" s="324"/>
      <c r="D208" s="324"/>
      <c r="E208" s="324"/>
      <c r="F208" s="324"/>
      <c r="G208" s="324"/>
      <c r="H208" s="324"/>
      <c r="L208"/>
    </row>
    <row r="209" spans="2:12" ht="18">
      <c r="B209" s="324"/>
      <c r="C209" s="324"/>
      <c r="D209" s="324"/>
      <c r="E209" s="324"/>
      <c r="F209" s="324"/>
      <c r="G209" s="324"/>
      <c r="H209" s="324"/>
      <c r="L209"/>
    </row>
    <row r="210" spans="2:12" ht="18">
      <c r="B210" s="324"/>
      <c r="C210" s="324"/>
      <c r="D210" s="324"/>
      <c r="E210" s="324"/>
      <c r="F210" s="324"/>
      <c r="G210" s="324"/>
      <c r="H210" s="324"/>
      <c r="L210"/>
    </row>
    <row r="211" spans="2:12" ht="18">
      <c r="B211" s="324"/>
      <c r="C211" s="324"/>
      <c r="D211" s="324"/>
      <c r="E211" s="324"/>
      <c r="F211" s="324"/>
      <c r="G211" s="324"/>
      <c r="H211" s="324"/>
      <c r="L211"/>
    </row>
    <row r="212" spans="2:12" ht="18">
      <c r="B212" s="324"/>
      <c r="C212" s="324"/>
      <c r="D212" s="324"/>
      <c r="E212" s="324"/>
      <c r="F212" s="324"/>
      <c r="G212" s="324"/>
      <c r="H212" s="324"/>
      <c r="L212"/>
    </row>
    <row r="213" spans="2:12" ht="18">
      <c r="B213" s="324"/>
      <c r="C213" s="324"/>
      <c r="D213" s="324"/>
      <c r="E213" s="324"/>
      <c r="F213" s="324"/>
      <c r="G213" s="324"/>
      <c r="H213" s="324"/>
      <c r="L213"/>
    </row>
    <row r="214" spans="2:12" ht="18">
      <c r="B214" s="324"/>
      <c r="C214" s="324"/>
      <c r="D214" s="324"/>
      <c r="E214" s="324"/>
      <c r="F214" s="324"/>
      <c r="G214" s="324"/>
      <c r="H214" s="324"/>
      <c r="L214"/>
    </row>
    <row r="215" spans="2:12" ht="18">
      <c r="B215" s="324"/>
      <c r="C215" s="324"/>
      <c r="D215" s="324"/>
      <c r="E215" s="324"/>
      <c r="F215" s="324"/>
      <c r="G215" s="324"/>
      <c r="H215" s="324"/>
      <c r="L215"/>
    </row>
    <row r="216" spans="2:12" ht="18">
      <c r="B216" s="324"/>
      <c r="C216" s="324"/>
      <c r="D216" s="324"/>
      <c r="E216" s="324"/>
      <c r="F216" s="324"/>
      <c r="G216" s="324"/>
      <c r="H216" s="324"/>
      <c r="L216"/>
    </row>
    <row r="217" spans="2:12" ht="18">
      <c r="B217" s="324"/>
      <c r="C217" s="324"/>
      <c r="D217" s="324"/>
      <c r="E217" s="324"/>
      <c r="F217" s="324"/>
      <c r="G217" s="324"/>
      <c r="H217" s="324"/>
      <c r="L217"/>
    </row>
    <row r="218" spans="2:12" ht="18">
      <c r="B218" s="324"/>
      <c r="C218" s="324"/>
      <c r="D218" s="324"/>
      <c r="E218" s="324"/>
      <c r="F218" s="324"/>
      <c r="G218" s="324"/>
      <c r="H218" s="324"/>
      <c r="L218"/>
    </row>
    <row r="219" spans="2:12" ht="18">
      <c r="B219" s="324"/>
      <c r="C219" s="324"/>
      <c r="D219" s="324"/>
      <c r="E219" s="324"/>
      <c r="F219" s="324"/>
      <c r="G219" s="324"/>
      <c r="H219" s="324"/>
      <c r="L219"/>
    </row>
    <row r="220" spans="2:12" ht="18">
      <c r="B220" s="324"/>
      <c r="C220" s="324"/>
      <c r="D220" s="324"/>
      <c r="E220" s="324"/>
      <c r="F220" s="324"/>
      <c r="G220" s="324"/>
      <c r="H220" s="324"/>
      <c r="L220"/>
    </row>
    <row r="221" spans="2:12" ht="18">
      <c r="B221" s="324"/>
      <c r="C221" s="324"/>
      <c r="D221" s="324"/>
      <c r="E221" s="324"/>
      <c r="F221" s="324"/>
      <c r="G221" s="324"/>
      <c r="H221" s="324"/>
      <c r="L221"/>
    </row>
    <row r="222" spans="2:12" ht="18">
      <c r="B222" s="324"/>
      <c r="C222" s="324"/>
      <c r="D222" s="324"/>
      <c r="E222" s="324"/>
      <c r="F222" s="324"/>
      <c r="G222" s="324"/>
      <c r="H222" s="324"/>
      <c r="L222"/>
    </row>
    <row r="223" spans="2:12" ht="18">
      <c r="B223" s="324"/>
      <c r="C223" s="324"/>
      <c r="D223" s="324"/>
      <c r="E223" s="324"/>
      <c r="F223" s="324"/>
      <c r="G223" s="324"/>
      <c r="H223" s="324"/>
      <c r="L223"/>
    </row>
    <row r="224" spans="2:12" ht="18">
      <c r="B224" s="324"/>
      <c r="C224" s="324"/>
      <c r="D224" s="324"/>
      <c r="E224" s="324"/>
      <c r="F224" s="324"/>
      <c r="G224" s="324"/>
      <c r="H224" s="324"/>
      <c r="L224"/>
    </row>
    <row r="225" spans="2:12" ht="18">
      <c r="B225" s="324"/>
      <c r="C225" s="324"/>
      <c r="D225" s="324"/>
      <c r="E225" s="324"/>
      <c r="F225" s="324"/>
      <c r="G225" s="324"/>
      <c r="H225" s="324"/>
      <c r="L225"/>
    </row>
    <row r="226" spans="2:12" ht="18">
      <c r="B226" s="324"/>
      <c r="C226" s="324"/>
      <c r="D226" s="324"/>
      <c r="E226" s="324"/>
      <c r="F226" s="324"/>
      <c r="G226" s="324"/>
      <c r="H226" s="324"/>
      <c r="L226"/>
    </row>
    <row r="227" spans="2:12" ht="18">
      <c r="B227" s="324"/>
      <c r="C227" s="324"/>
      <c r="D227" s="324"/>
      <c r="E227" s="324"/>
      <c r="F227" s="324"/>
      <c r="G227" s="324"/>
      <c r="H227" s="324"/>
      <c r="L227"/>
    </row>
    <row r="228" spans="2:12" ht="18">
      <c r="B228" s="324"/>
      <c r="C228" s="324"/>
      <c r="D228" s="324"/>
      <c r="E228" s="324"/>
      <c r="F228" s="324"/>
      <c r="G228" s="324"/>
      <c r="H228" s="324"/>
      <c r="L228"/>
    </row>
    <row r="229" spans="2:12" ht="18">
      <c r="B229" s="324"/>
      <c r="C229" s="324"/>
      <c r="D229" s="324"/>
      <c r="E229" s="324"/>
      <c r="F229" s="324"/>
      <c r="G229" s="324"/>
      <c r="H229" s="324"/>
      <c r="L229"/>
    </row>
    <row r="230" spans="2:12" ht="18">
      <c r="B230" s="324"/>
      <c r="C230" s="324"/>
      <c r="D230" s="324"/>
      <c r="E230" s="324"/>
      <c r="F230" s="324"/>
      <c r="G230" s="324"/>
      <c r="H230" s="324"/>
      <c r="L230"/>
    </row>
    <row r="231" spans="2:12" ht="18">
      <c r="B231" s="324"/>
      <c r="C231" s="324"/>
      <c r="D231" s="324"/>
      <c r="E231" s="324"/>
      <c r="F231" s="324"/>
      <c r="G231" s="324"/>
      <c r="H231" s="324"/>
      <c r="L231"/>
    </row>
    <row r="232" spans="2:12" ht="18">
      <c r="B232" s="324"/>
      <c r="C232" s="324"/>
      <c r="D232" s="324"/>
      <c r="E232" s="324"/>
      <c r="F232" s="324"/>
      <c r="G232" s="324"/>
      <c r="H232" s="324"/>
      <c r="L232"/>
    </row>
    <row r="233" spans="2:12" ht="18">
      <c r="B233" s="324"/>
      <c r="C233" s="324"/>
      <c r="D233" s="324"/>
      <c r="E233" s="324"/>
      <c r="F233" s="324"/>
      <c r="G233" s="324"/>
      <c r="H233" s="324"/>
      <c r="L233"/>
    </row>
    <row r="234" spans="2:12" ht="18">
      <c r="B234" s="324"/>
      <c r="C234" s="324"/>
      <c r="D234" s="324"/>
      <c r="E234" s="324"/>
      <c r="F234" s="324"/>
      <c r="G234" s="324"/>
      <c r="H234" s="324"/>
      <c r="L234"/>
    </row>
    <row r="235" spans="2:12" ht="18">
      <c r="B235" s="324"/>
      <c r="C235" s="324"/>
      <c r="D235" s="324"/>
      <c r="E235" s="324"/>
      <c r="F235" s="324"/>
      <c r="G235" s="324"/>
      <c r="H235" s="324"/>
      <c r="L235"/>
    </row>
    <row r="236" spans="2:12" ht="18">
      <c r="B236" s="324"/>
      <c r="C236" s="324"/>
      <c r="D236" s="324"/>
      <c r="E236" s="324"/>
      <c r="F236" s="324"/>
      <c r="G236" s="324"/>
      <c r="H236" s="324"/>
      <c r="L236"/>
    </row>
    <row r="237" spans="2:12" ht="18">
      <c r="B237" s="324"/>
      <c r="C237" s="324"/>
      <c r="D237" s="324"/>
      <c r="E237" s="324"/>
      <c r="F237" s="324"/>
      <c r="G237" s="324"/>
      <c r="H237" s="324"/>
      <c r="L237"/>
    </row>
    <row r="238" spans="2:12" ht="18">
      <c r="B238" s="324"/>
      <c r="C238" s="324"/>
      <c r="D238" s="324"/>
      <c r="E238" s="324"/>
      <c r="F238" s="324"/>
      <c r="G238" s="324"/>
      <c r="H238" s="324"/>
      <c r="L238"/>
    </row>
    <row r="239" spans="2:12" ht="18">
      <c r="B239" s="324"/>
      <c r="C239" s="324"/>
      <c r="D239" s="324"/>
      <c r="E239" s="324"/>
      <c r="F239" s="324"/>
      <c r="G239" s="324"/>
      <c r="H239" s="324"/>
      <c r="L239"/>
    </row>
    <row r="240" spans="2:12" ht="18">
      <c r="B240" s="324"/>
      <c r="C240" s="324"/>
      <c r="D240" s="324"/>
      <c r="E240" s="324"/>
      <c r="F240" s="324"/>
      <c r="G240" s="324"/>
      <c r="H240" s="324"/>
      <c r="L240"/>
    </row>
    <row r="241" spans="2:12" ht="18">
      <c r="B241" s="324"/>
      <c r="C241" s="324"/>
      <c r="D241" s="324"/>
      <c r="E241" s="324"/>
      <c r="F241" s="324"/>
      <c r="G241" s="324"/>
      <c r="H241" s="324"/>
      <c r="L241"/>
    </row>
    <row r="242" spans="2:12" ht="18">
      <c r="B242" s="324"/>
      <c r="C242" s="324"/>
      <c r="D242" s="324"/>
      <c r="E242" s="324"/>
      <c r="F242" s="324"/>
      <c r="G242" s="324"/>
      <c r="H242" s="324"/>
      <c r="L242"/>
    </row>
    <row r="243" spans="2:12" ht="18">
      <c r="B243" s="324"/>
      <c r="C243" s="324"/>
      <c r="D243" s="324"/>
      <c r="E243" s="324"/>
      <c r="F243" s="324"/>
      <c r="G243" s="324"/>
      <c r="H243" s="324"/>
      <c r="L243"/>
    </row>
    <row r="244" spans="2:12" ht="18">
      <c r="B244" s="324"/>
      <c r="C244" s="324"/>
      <c r="D244" s="324"/>
      <c r="E244" s="324"/>
      <c r="F244" s="324"/>
      <c r="G244" s="324"/>
      <c r="H244" s="324"/>
      <c r="L244"/>
    </row>
    <row r="245" spans="2:12" ht="18">
      <c r="B245" s="324"/>
      <c r="C245" s="324"/>
      <c r="D245" s="324"/>
      <c r="E245" s="324"/>
      <c r="F245" s="324"/>
      <c r="G245" s="324"/>
      <c r="H245" s="324"/>
      <c r="L245"/>
    </row>
    <row r="246" spans="2:12" ht="18">
      <c r="B246" s="324"/>
      <c r="C246" s="324"/>
      <c r="D246" s="324"/>
      <c r="E246" s="324"/>
      <c r="F246" s="324"/>
      <c r="G246" s="324"/>
      <c r="H246" s="324"/>
      <c r="L246"/>
    </row>
    <row r="247" spans="2:12" ht="18">
      <c r="B247" s="324"/>
      <c r="C247" s="324"/>
      <c r="D247" s="324"/>
      <c r="E247" s="324"/>
      <c r="F247" s="324"/>
      <c r="G247" s="324"/>
      <c r="H247" s="324"/>
      <c r="L247"/>
    </row>
    <row r="248" spans="2:12" ht="18">
      <c r="B248" s="324"/>
      <c r="C248" s="324"/>
      <c r="D248" s="324"/>
      <c r="E248" s="324"/>
      <c r="F248" s="324"/>
      <c r="G248" s="324"/>
      <c r="H248" s="324"/>
      <c r="L248"/>
    </row>
    <row r="249" spans="2:12" ht="18">
      <c r="B249" s="324"/>
      <c r="C249" s="324"/>
      <c r="D249" s="324"/>
      <c r="E249" s="324"/>
      <c r="F249" s="324"/>
      <c r="G249" s="324"/>
      <c r="H249" s="324"/>
      <c r="L249"/>
    </row>
    <row r="250" spans="2:12" ht="18">
      <c r="B250" s="324"/>
      <c r="C250" s="324"/>
      <c r="D250" s="324"/>
      <c r="E250" s="324"/>
      <c r="F250" s="324"/>
      <c r="G250" s="324"/>
      <c r="H250" s="324"/>
      <c r="L250"/>
    </row>
    <row r="251" spans="2:12" ht="18">
      <c r="B251" s="324"/>
      <c r="C251" s="324"/>
      <c r="D251" s="324"/>
      <c r="E251" s="324"/>
      <c r="F251" s="324"/>
      <c r="G251" s="324"/>
      <c r="H251" s="324"/>
      <c r="L251"/>
    </row>
    <row r="252" spans="2:12" ht="18">
      <c r="B252" s="324"/>
      <c r="C252" s="324"/>
      <c r="D252" s="324"/>
      <c r="E252" s="324"/>
      <c r="F252" s="324"/>
      <c r="G252" s="324"/>
      <c r="H252" s="324"/>
      <c r="L252"/>
    </row>
    <row r="253" spans="2:12" ht="18">
      <c r="B253" s="324"/>
      <c r="C253" s="324"/>
      <c r="D253" s="324"/>
      <c r="E253" s="324"/>
      <c r="F253" s="324"/>
      <c r="G253" s="324"/>
      <c r="H253" s="324"/>
      <c r="L253"/>
    </row>
    <row r="254" spans="2:12" ht="18">
      <c r="B254" s="324"/>
      <c r="C254" s="324"/>
      <c r="D254" s="324"/>
      <c r="E254" s="324"/>
      <c r="F254" s="324"/>
      <c r="G254" s="324"/>
      <c r="H254" s="324"/>
      <c r="L254"/>
    </row>
    <row r="255" spans="2:12" ht="18">
      <c r="B255" s="324"/>
      <c r="C255" s="324"/>
      <c r="D255" s="324"/>
      <c r="E255" s="324"/>
      <c r="F255" s="324"/>
      <c r="G255" s="324"/>
      <c r="H255" s="324"/>
      <c r="L255"/>
    </row>
    <row r="256" spans="2:12" ht="18">
      <c r="B256" s="324"/>
      <c r="C256" s="324"/>
      <c r="D256" s="324"/>
      <c r="E256" s="324"/>
      <c r="F256" s="324"/>
      <c r="G256" s="324"/>
      <c r="H256" s="324"/>
      <c r="L256"/>
    </row>
    <row r="257" spans="2:12" ht="18">
      <c r="B257" s="324"/>
      <c r="C257" s="324"/>
      <c r="D257" s="324"/>
      <c r="E257" s="324"/>
      <c r="F257" s="324"/>
      <c r="G257" s="324"/>
      <c r="H257" s="324"/>
      <c r="L257"/>
    </row>
    <row r="258" spans="2:12" ht="18">
      <c r="B258" s="324"/>
      <c r="C258" s="324"/>
      <c r="D258" s="324"/>
      <c r="E258" s="324"/>
      <c r="F258" s="324"/>
      <c r="G258" s="324"/>
      <c r="H258" s="324"/>
      <c r="L258"/>
    </row>
    <row r="259" spans="2:12" ht="18">
      <c r="B259" s="324"/>
      <c r="C259" s="324"/>
      <c r="D259" s="324"/>
      <c r="E259" s="324"/>
      <c r="F259" s="324"/>
      <c r="G259" s="324"/>
      <c r="H259" s="324"/>
      <c r="L259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774FA-11C3-4D95-AE8C-4C9817F74298}">
  <dimension ref="A4:G39"/>
  <sheetViews>
    <sheetView workbookViewId="0">
      <selection activeCell="D96" sqref="D96"/>
    </sheetView>
  </sheetViews>
  <sheetFormatPr defaultRowHeight="11.25"/>
  <cols>
    <col min="1" max="1" width="21.33203125" bestFit="1" customWidth="1"/>
    <col min="4" max="4" width="23.6640625" bestFit="1" customWidth="1"/>
    <col min="5" max="5" width="31.83203125" bestFit="1" customWidth="1"/>
    <col min="7" max="7" width="10.6640625" bestFit="1" customWidth="1"/>
  </cols>
  <sheetData>
    <row r="4" spans="1:7">
      <c r="C4" t="s">
        <v>957</v>
      </c>
    </row>
    <row r="5" spans="1:7">
      <c r="A5" t="s">
        <v>958</v>
      </c>
      <c r="B5">
        <v>50380</v>
      </c>
      <c r="C5">
        <v>9</v>
      </c>
      <c r="D5" t="s">
        <v>959</v>
      </c>
      <c r="E5" t="s">
        <v>960</v>
      </c>
      <c r="G5" s="7"/>
    </row>
    <row r="6" spans="1:7">
      <c r="A6" s="23" t="s">
        <v>594</v>
      </c>
      <c r="B6">
        <v>50210</v>
      </c>
      <c r="C6">
        <v>3</v>
      </c>
      <c r="D6" s="23" t="s">
        <v>961</v>
      </c>
      <c r="E6" s="23" t="s">
        <v>962</v>
      </c>
      <c r="G6" s="7"/>
    </row>
    <row r="7" spans="1:7">
      <c r="A7" s="23" t="s">
        <v>963</v>
      </c>
      <c r="B7">
        <v>50220</v>
      </c>
      <c r="C7">
        <v>3</v>
      </c>
      <c r="D7" s="23" t="s">
        <v>961</v>
      </c>
      <c r="E7" s="23" t="s">
        <v>964</v>
      </c>
      <c r="G7" s="7"/>
    </row>
    <row r="8" spans="1:7">
      <c r="A8" s="23" t="s">
        <v>965</v>
      </c>
      <c r="B8">
        <v>50310</v>
      </c>
      <c r="C8">
        <v>3</v>
      </c>
      <c r="D8" s="23" t="s">
        <v>961</v>
      </c>
      <c r="E8" s="23" t="s">
        <v>966</v>
      </c>
      <c r="G8" s="7"/>
    </row>
    <row r="9" spans="1:7">
      <c r="A9" s="23" t="s">
        <v>967</v>
      </c>
      <c r="B9">
        <v>50320</v>
      </c>
      <c r="C9">
        <v>3</v>
      </c>
      <c r="D9" s="23" t="s">
        <v>961</v>
      </c>
      <c r="E9" s="23" t="s">
        <v>966</v>
      </c>
      <c r="G9" s="7"/>
    </row>
    <row r="10" spans="1:7">
      <c r="A10" s="23" t="s">
        <v>968</v>
      </c>
      <c r="B10">
        <v>50330</v>
      </c>
      <c r="C10">
        <v>3</v>
      </c>
      <c r="D10" s="23" t="s">
        <v>961</v>
      </c>
      <c r="E10" s="23" t="s">
        <v>966</v>
      </c>
    </row>
    <row r="11" spans="1:7">
      <c r="A11" s="23" t="s">
        <v>969</v>
      </c>
      <c r="B11">
        <v>50375</v>
      </c>
      <c r="C11">
        <v>3</v>
      </c>
      <c r="D11" s="23" t="s">
        <v>961</v>
      </c>
      <c r="E11" s="23" t="s">
        <v>966</v>
      </c>
    </row>
    <row r="12" spans="1:7">
      <c r="A12" s="23" t="s">
        <v>970</v>
      </c>
      <c r="B12">
        <v>50376</v>
      </c>
      <c r="C12">
        <v>3</v>
      </c>
      <c r="D12" s="23" t="s">
        <v>961</v>
      </c>
      <c r="E12" s="23" t="s">
        <v>966</v>
      </c>
    </row>
    <row r="13" spans="1:7">
      <c r="A13" s="23" t="s">
        <v>971</v>
      </c>
      <c r="B13">
        <v>50910</v>
      </c>
      <c r="C13">
        <v>4</v>
      </c>
      <c r="D13" s="23" t="s">
        <v>972</v>
      </c>
      <c r="E13" s="23" t="s">
        <v>973</v>
      </c>
    </row>
    <row r="14" spans="1:7">
      <c r="A14" s="23" t="s">
        <v>974</v>
      </c>
      <c r="B14">
        <v>50920</v>
      </c>
      <c r="C14">
        <v>4</v>
      </c>
      <c r="D14" s="23" t="s">
        <v>972</v>
      </c>
      <c r="E14" s="23" t="s">
        <v>973</v>
      </c>
    </row>
    <row r="15" spans="1:7">
      <c r="A15" s="23" t="s">
        <v>975</v>
      </c>
      <c r="B15">
        <v>50930</v>
      </c>
      <c r="C15">
        <v>4</v>
      </c>
      <c r="D15" s="23" t="s">
        <v>972</v>
      </c>
      <c r="E15" s="23" t="s">
        <v>976</v>
      </c>
    </row>
    <row r="16" spans="1:7">
      <c r="A16" s="23" t="s">
        <v>977</v>
      </c>
      <c r="B16">
        <v>52430</v>
      </c>
      <c r="C16">
        <v>4</v>
      </c>
      <c r="D16" s="23" t="s">
        <v>972</v>
      </c>
      <c r="E16" s="23" t="s">
        <v>978</v>
      </c>
    </row>
    <row r="17" spans="1:6">
      <c r="A17" s="23" t="s">
        <v>979</v>
      </c>
      <c r="B17">
        <v>50710</v>
      </c>
      <c r="C17">
        <v>6</v>
      </c>
      <c r="D17" s="23" t="s">
        <v>980</v>
      </c>
      <c r="E17" s="23" t="s">
        <v>981</v>
      </c>
      <c r="F17" s="23" t="s">
        <v>982</v>
      </c>
    </row>
    <row r="18" spans="1:6">
      <c r="A18" s="23" t="s">
        <v>983</v>
      </c>
      <c r="B18">
        <v>51600</v>
      </c>
      <c r="C18">
        <v>6</v>
      </c>
      <c r="D18" s="23" t="s">
        <v>980</v>
      </c>
      <c r="E18" s="23"/>
      <c r="F18" s="23"/>
    </row>
    <row r="19" spans="1:6">
      <c r="A19" s="23" t="s">
        <v>984</v>
      </c>
      <c r="B19">
        <v>51610</v>
      </c>
      <c r="C19">
        <v>6</v>
      </c>
      <c r="D19" s="23" t="s">
        <v>980</v>
      </c>
      <c r="E19" s="23"/>
      <c r="F19" s="23"/>
    </row>
    <row r="20" spans="1:6">
      <c r="A20" s="23"/>
      <c r="D20" s="23"/>
      <c r="E20" s="23"/>
      <c r="F20" s="23"/>
    </row>
    <row r="21" spans="1:6">
      <c r="A21" s="23"/>
      <c r="D21" s="23"/>
      <c r="E21" s="23"/>
      <c r="F21" s="23"/>
    </row>
    <row r="22" spans="1:6">
      <c r="A22" s="23" t="s">
        <v>985</v>
      </c>
      <c r="B22">
        <v>50810</v>
      </c>
      <c r="C22">
        <v>5</v>
      </c>
      <c r="D22" s="23" t="s">
        <v>986</v>
      </c>
      <c r="E22" s="23" t="s">
        <v>987</v>
      </c>
    </row>
    <row r="23" spans="1:6">
      <c r="A23" s="23" t="s">
        <v>988</v>
      </c>
      <c r="B23">
        <v>50820</v>
      </c>
      <c r="C23">
        <v>5</v>
      </c>
      <c r="D23" s="23" t="s">
        <v>986</v>
      </c>
      <c r="E23" s="23" t="s">
        <v>987</v>
      </c>
    </row>
    <row r="24" spans="1:6">
      <c r="A24" s="23" t="s">
        <v>989</v>
      </c>
      <c r="B24">
        <v>50860</v>
      </c>
      <c r="C24">
        <v>5</v>
      </c>
      <c r="D24" s="23" t="s">
        <v>986</v>
      </c>
      <c r="E24" s="23" t="s">
        <v>987</v>
      </c>
    </row>
    <row r="25" spans="1:6">
      <c r="A25" s="23" t="s">
        <v>990</v>
      </c>
      <c r="B25">
        <v>50870</v>
      </c>
      <c r="C25">
        <v>5</v>
      </c>
      <c r="D25" s="23" t="s">
        <v>986</v>
      </c>
      <c r="E25" s="23" t="s">
        <v>987</v>
      </c>
    </row>
    <row r="26" spans="1:6">
      <c r="A26" t="s">
        <v>991</v>
      </c>
      <c r="B26">
        <v>50890</v>
      </c>
      <c r="C26">
        <v>5</v>
      </c>
      <c r="D26" s="23" t="s">
        <v>986</v>
      </c>
      <c r="E26" s="23" t="s">
        <v>987</v>
      </c>
    </row>
    <row r="27" spans="1:6">
      <c r="A27" t="s">
        <v>992</v>
      </c>
      <c r="B27">
        <v>52110</v>
      </c>
      <c r="C27">
        <v>5</v>
      </c>
      <c r="D27" t="s">
        <v>986</v>
      </c>
      <c r="E27" t="s">
        <v>992</v>
      </c>
    </row>
    <row r="28" spans="1:6">
      <c r="A28" t="s">
        <v>711</v>
      </c>
      <c r="B28">
        <v>50510</v>
      </c>
      <c r="C28">
        <v>5</v>
      </c>
      <c r="D28" t="s">
        <v>986</v>
      </c>
      <c r="E28" t="s">
        <v>993</v>
      </c>
    </row>
    <row r="29" spans="1:6" ht="12.75" customHeight="1">
      <c r="A29" t="s">
        <v>994</v>
      </c>
      <c r="B29">
        <v>51710</v>
      </c>
      <c r="C29">
        <v>7</v>
      </c>
      <c r="D29" t="s">
        <v>995</v>
      </c>
      <c r="E29" s="23" t="s">
        <v>996</v>
      </c>
    </row>
    <row r="30" spans="1:6" ht="12.75" customHeight="1">
      <c r="A30" t="s">
        <v>997</v>
      </c>
      <c r="B30">
        <v>51720</v>
      </c>
      <c r="C30">
        <v>7</v>
      </c>
      <c r="D30" t="s">
        <v>995</v>
      </c>
      <c r="E30" t="s">
        <v>996</v>
      </c>
    </row>
    <row r="31" spans="1:6" ht="12.75" customHeight="1">
      <c r="A31" t="s">
        <v>998</v>
      </c>
      <c r="B31">
        <v>51730</v>
      </c>
      <c r="C31">
        <v>7</v>
      </c>
      <c r="D31" t="s">
        <v>995</v>
      </c>
      <c r="E31" t="s">
        <v>996</v>
      </c>
    </row>
    <row r="32" spans="1:6">
      <c r="A32" t="s">
        <v>999</v>
      </c>
      <c r="B32">
        <v>51100</v>
      </c>
      <c r="C32">
        <v>7</v>
      </c>
      <c r="D32" t="s">
        <v>995</v>
      </c>
      <c r="E32" t="s">
        <v>1000</v>
      </c>
    </row>
    <row r="33" spans="1:5">
      <c r="A33" t="s">
        <v>237</v>
      </c>
      <c r="B33">
        <v>51210</v>
      </c>
      <c r="C33">
        <v>8</v>
      </c>
      <c r="D33" t="s">
        <v>822</v>
      </c>
      <c r="E33" t="s">
        <v>1001</v>
      </c>
    </row>
    <row r="34" spans="1:5">
      <c r="A34" t="s">
        <v>239</v>
      </c>
      <c r="B34">
        <v>51220</v>
      </c>
      <c r="C34">
        <v>8</v>
      </c>
      <c r="D34" t="s">
        <v>822</v>
      </c>
      <c r="E34" t="s">
        <v>1001</v>
      </c>
    </row>
    <row r="35" spans="1:5">
      <c r="A35" s="150" t="s">
        <v>1002</v>
      </c>
      <c r="B35">
        <v>51320</v>
      </c>
      <c r="C35">
        <v>8</v>
      </c>
      <c r="D35" t="s">
        <v>822</v>
      </c>
      <c r="E35" t="s">
        <v>1003</v>
      </c>
    </row>
    <row r="36" spans="1:5">
      <c r="A36" s="23" t="s">
        <v>1004</v>
      </c>
      <c r="B36">
        <v>50420</v>
      </c>
      <c r="C36">
        <v>9</v>
      </c>
      <c r="D36" s="23" t="s">
        <v>959</v>
      </c>
      <c r="E36" s="23" t="s">
        <v>1005</v>
      </c>
    </row>
    <row r="37" spans="1:5">
      <c r="A37" s="150" t="s">
        <v>1006</v>
      </c>
      <c r="B37">
        <v>51400</v>
      </c>
      <c r="C37">
        <v>9</v>
      </c>
      <c r="D37" t="s">
        <v>959</v>
      </c>
      <c r="E37" t="s">
        <v>1006</v>
      </c>
    </row>
    <row r="38" spans="1:5">
      <c r="A38" t="s">
        <v>1007</v>
      </c>
      <c r="B38">
        <v>51010</v>
      </c>
      <c r="C38">
        <v>9</v>
      </c>
      <c r="D38" t="s">
        <v>959</v>
      </c>
      <c r="E38" t="s">
        <v>1008</v>
      </c>
    </row>
    <row r="39" spans="1:5">
      <c r="A39" t="s">
        <v>1009</v>
      </c>
      <c r="B39">
        <v>51020</v>
      </c>
      <c r="C39">
        <v>9</v>
      </c>
      <c r="D39" t="s">
        <v>959</v>
      </c>
      <c r="E39" t="s">
        <v>1008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B52B1-1E13-4B73-B740-895D1DE21F5F}">
  <dimension ref="A1:BH158"/>
  <sheetViews>
    <sheetView view="pageBreakPreview" zoomScale="140" zoomScaleNormal="190" zoomScaleSheetLayoutView="140" workbookViewId="0">
      <pane xSplit="1" ySplit="8" topLeftCell="C53" activePane="bottomRight" state="frozen"/>
      <selection pane="topRight"/>
      <selection pane="bottomLeft"/>
      <selection pane="bottomRight" activeCell="C53" sqref="C53"/>
    </sheetView>
  </sheetViews>
  <sheetFormatPr defaultRowHeight="11.25"/>
  <cols>
    <col min="1" max="1" width="39.5" customWidth="1"/>
    <col min="3" max="3" width="14" bestFit="1" customWidth="1"/>
    <col min="4" max="4" width="14.1640625" bestFit="1" customWidth="1"/>
    <col min="5" max="5" width="19.5" customWidth="1"/>
    <col min="6" max="6" width="17" bestFit="1" customWidth="1"/>
    <col min="7" max="7" width="18.83203125" bestFit="1" customWidth="1"/>
    <col min="8" max="8" width="15.5" bestFit="1" customWidth="1"/>
    <col min="9" max="9" width="12" bestFit="1" customWidth="1"/>
    <col min="10" max="11" width="15.6640625" bestFit="1" customWidth="1"/>
    <col min="12" max="13" width="11" bestFit="1" customWidth="1"/>
    <col min="14" max="14" width="12" bestFit="1" customWidth="1"/>
    <col min="15" max="15" width="11" bestFit="1" customWidth="1"/>
    <col min="16" max="16" width="14" customWidth="1"/>
    <col min="17" max="17" width="14.83203125" customWidth="1"/>
    <col min="18" max="18" width="12.6640625" customWidth="1"/>
    <col min="19" max="19" width="10.6640625" customWidth="1"/>
    <col min="20" max="20" width="12.1640625" customWidth="1"/>
    <col min="32" max="32" width="9.33203125" bestFit="1" customWidth="1"/>
    <col min="33" max="33" width="18.5" customWidth="1"/>
    <col min="34" max="37" width="9.33203125" bestFit="1" customWidth="1"/>
    <col min="40" max="40" width="15.1640625" customWidth="1"/>
    <col min="44" max="44" width="12.83203125" customWidth="1"/>
    <col min="60" max="60" width="14.5" bestFit="1" customWidth="1"/>
  </cols>
  <sheetData>
    <row r="1" spans="1:60" ht="15.75">
      <c r="A1" s="393" t="s">
        <v>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  <c r="AF1" s="393"/>
      <c r="AG1" s="393"/>
      <c r="AH1" s="393"/>
      <c r="AI1" s="393"/>
      <c r="AJ1" s="393"/>
      <c r="AK1" s="393"/>
      <c r="AL1" s="393"/>
      <c r="AM1" s="393"/>
      <c r="AN1" s="393"/>
      <c r="AO1" s="393"/>
      <c r="AP1" s="393"/>
      <c r="AQ1" s="393"/>
      <c r="AR1" s="393"/>
      <c r="AS1" s="393"/>
      <c r="AT1" s="393"/>
      <c r="AU1" s="393"/>
      <c r="AV1" s="393"/>
      <c r="AW1" s="393"/>
      <c r="AX1" s="393"/>
      <c r="AY1" s="393"/>
      <c r="AZ1" s="393"/>
      <c r="BA1" s="393"/>
      <c r="BB1" s="393"/>
      <c r="BC1" s="393"/>
      <c r="BD1" s="393"/>
      <c r="BE1" s="393"/>
      <c r="BF1" s="393"/>
      <c r="BG1" s="393"/>
      <c r="BH1" s="393"/>
    </row>
    <row r="2" spans="1:60" ht="15.75">
      <c r="A2" s="393" t="s">
        <v>1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K2" s="393"/>
      <c r="AL2" s="393"/>
      <c r="AM2" s="393"/>
      <c r="AN2" s="393"/>
      <c r="AO2" s="393"/>
      <c r="AP2" s="393"/>
      <c r="AQ2" s="393"/>
      <c r="AR2" s="393"/>
      <c r="AS2" s="393"/>
      <c r="AT2" s="393"/>
      <c r="AU2" s="393"/>
      <c r="AV2" s="393"/>
      <c r="AW2" s="393"/>
      <c r="AX2" s="393"/>
      <c r="AY2" s="393"/>
      <c r="AZ2" s="393"/>
      <c r="BA2" s="393"/>
      <c r="BB2" s="393"/>
      <c r="BC2" s="393"/>
      <c r="BD2" s="393"/>
      <c r="BE2" s="393"/>
      <c r="BF2" s="393"/>
      <c r="BG2" s="393"/>
      <c r="BH2" s="393"/>
    </row>
    <row r="3" spans="1:60" ht="18">
      <c r="A3" s="392" t="s">
        <v>2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92"/>
      <c r="Y3" s="392"/>
      <c r="Z3" s="392"/>
      <c r="AA3" s="392"/>
      <c r="AB3" s="392"/>
      <c r="AC3" s="392"/>
      <c r="AD3" s="392"/>
      <c r="AE3" s="392"/>
      <c r="AF3" s="392"/>
      <c r="AG3" s="392"/>
      <c r="AH3" s="392"/>
      <c r="AI3" s="392"/>
      <c r="AJ3" s="392"/>
      <c r="AK3" s="392"/>
      <c r="AL3" s="392"/>
      <c r="AM3" s="392"/>
      <c r="AN3" s="392"/>
      <c r="AO3" s="392"/>
      <c r="AP3" s="392"/>
      <c r="AQ3" s="392"/>
      <c r="AR3" s="392"/>
      <c r="AS3" s="392"/>
      <c r="AT3" s="392"/>
      <c r="AU3" s="392"/>
      <c r="AV3" s="392"/>
      <c r="AW3" s="392"/>
      <c r="AX3" s="392"/>
      <c r="AY3" s="392"/>
      <c r="AZ3" s="392"/>
      <c r="BA3" s="392"/>
      <c r="BB3" s="392"/>
      <c r="BC3" s="392"/>
      <c r="BD3" s="392"/>
      <c r="BE3" s="392"/>
      <c r="BF3" s="392"/>
      <c r="BG3" s="392"/>
      <c r="BH3" s="392"/>
    </row>
    <row r="4" spans="1:60" ht="18">
      <c r="A4" s="392" t="s">
        <v>247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  <c r="AA4" s="392"/>
      <c r="AB4" s="392"/>
      <c r="AC4" s="392"/>
      <c r="AD4" s="392"/>
      <c r="AE4" s="392"/>
      <c r="AF4" s="392"/>
      <c r="AG4" s="392"/>
      <c r="AH4" s="392"/>
      <c r="AI4" s="392"/>
      <c r="AJ4" s="392"/>
      <c r="AK4" s="392"/>
      <c r="AL4" s="392"/>
      <c r="AM4" s="392"/>
      <c r="AN4" s="392"/>
      <c r="AO4" s="392"/>
      <c r="AP4" s="392"/>
      <c r="AQ4" s="392"/>
      <c r="AR4" s="392"/>
      <c r="AS4" s="392"/>
      <c r="AT4" s="392"/>
      <c r="AU4" s="392"/>
      <c r="AV4" s="392"/>
      <c r="AW4" s="392"/>
      <c r="AX4" s="392"/>
      <c r="AY4" s="392"/>
      <c r="AZ4" s="392"/>
      <c r="BA4" s="392"/>
      <c r="BB4" s="392"/>
      <c r="BC4" s="392"/>
      <c r="BD4" s="392"/>
      <c r="BE4" s="392"/>
      <c r="BF4" s="392"/>
      <c r="BG4" s="392"/>
      <c r="BH4" s="392"/>
    </row>
    <row r="5" spans="1:60" ht="18">
      <c r="A5" s="392"/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  <c r="AE5" s="392"/>
      <c r="AF5" s="392"/>
      <c r="AG5" s="392"/>
      <c r="AH5" s="392"/>
      <c r="AI5" s="392"/>
      <c r="AJ5" s="392"/>
      <c r="AK5" s="392"/>
      <c r="AL5" s="392"/>
      <c r="AM5" s="392"/>
      <c r="AN5" s="392"/>
      <c r="AO5" s="392"/>
      <c r="AP5" s="392"/>
      <c r="AQ5" s="392"/>
      <c r="AR5" s="392"/>
      <c r="AS5" s="392"/>
      <c r="AT5" s="392"/>
      <c r="AU5" s="392"/>
      <c r="AV5" s="392"/>
      <c r="AW5" s="392"/>
      <c r="AX5" s="392"/>
      <c r="AY5" s="392"/>
      <c r="AZ5" s="392"/>
      <c r="BA5" s="392"/>
      <c r="BB5" s="392"/>
      <c r="BC5" s="392"/>
      <c r="BD5" s="392"/>
      <c r="BE5" s="392"/>
      <c r="BF5" s="392"/>
      <c r="BG5" s="392"/>
      <c r="BH5" s="392"/>
    </row>
    <row r="6" spans="1:60" ht="18">
      <c r="A6" s="392" t="s">
        <v>5</v>
      </c>
      <c r="B6" s="392"/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92"/>
      <c r="N6" s="392"/>
      <c r="O6" s="392"/>
      <c r="P6" s="392"/>
      <c r="Q6" s="392"/>
      <c r="R6" s="392"/>
      <c r="S6" s="392"/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  <c r="AE6" s="392"/>
      <c r="AF6" s="392"/>
      <c r="AG6" s="392"/>
      <c r="AH6" s="392"/>
      <c r="AI6" s="392"/>
      <c r="AJ6" s="392"/>
      <c r="AK6" s="392"/>
      <c r="AL6" s="392"/>
      <c r="AM6" s="392"/>
      <c r="AN6" s="392"/>
      <c r="AO6" s="392"/>
      <c r="AP6" s="392"/>
      <c r="AQ6" s="392"/>
      <c r="AR6" s="392"/>
      <c r="AS6" s="392"/>
      <c r="AT6" s="392"/>
      <c r="AU6" s="392"/>
      <c r="AV6" s="392"/>
      <c r="AW6" s="392"/>
      <c r="AX6" s="392"/>
      <c r="AY6" s="392"/>
      <c r="AZ6" s="392"/>
      <c r="BA6" s="392"/>
      <c r="BB6" s="392"/>
      <c r="BC6" s="392"/>
      <c r="BD6" s="392"/>
      <c r="BE6" s="392"/>
      <c r="BF6" s="392"/>
      <c r="BG6" s="392"/>
      <c r="BH6" s="392"/>
    </row>
    <row r="7" spans="1:60" s="179" customFormat="1" ht="90.75">
      <c r="A7" s="282" t="s">
        <v>6</v>
      </c>
      <c r="B7" s="283" t="s">
        <v>7</v>
      </c>
      <c r="C7" s="282" t="s">
        <v>8</v>
      </c>
      <c r="D7" s="282" t="s">
        <v>9</v>
      </c>
      <c r="E7" s="282" t="s">
        <v>10</v>
      </c>
      <c r="F7" s="282" t="s">
        <v>11</v>
      </c>
      <c r="G7" s="282" t="s">
        <v>12</v>
      </c>
      <c r="H7" s="282" t="s">
        <v>13</v>
      </c>
      <c r="I7" s="282" t="s">
        <v>14</v>
      </c>
      <c r="J7" s="282" t="s">
        <v>15</v>
      </c>
      <c r="K7" s="282" t="s">
        <v>16</v>
      </c>
      <c r="L7" s="282" t="s">
        <v>17</v>
      </c>
      <c r="M7" s="282" t="s">
        <v>18</v>
      </c>
      <c r="N7" s="282" t="s">
        <v>19</v>
      </c>
      <c r="O7" s="282" t="s">
        <v>20</v>
      </c>
      <c r="P7" s="282" t="s">
        <v>24</v>
      </c>
      <c r="Q7" s="282" t="s">
        <v>26</v>
      </c>
      <c r="R7" s="282" t="s">
        <v>27</v>
      </c>
      <c r="S7" s="282" t="s">
        <v>28</v>
      </c>
      <c r="T7" s="282" t="s">
        <v>29</v>
      </c>
      <c r="U7" s="282" t="s">
        <v>30</v>
      </c>
      <c r="V7" s="282" t="s">
        <v>31</v>
      </c>
      <c r="W7" s="282" t="s">
        <v>32</v>
      </c>
      <c r="X7" s="282" t="s">
        <v>33</v>
      </c>
      <c r="Y7" s="282" t="s">
        <v>248</v>
      </c>
      <c r="Z7" s="282" t="s">
        <v>249</v>
      </c>
      <c r="AA7" s="282" t="s">
        <v>34</v>
      </c>
      <c r="AB7" s="282" t="s">
        <v>35</v>
      </c>
      <c r="AC7" s="282" t="s">
        <v>37</v>
      </c>
      <c r="AD7" s="282" t="s">
        <v>38</v>
      </c>
      <c r="AE7" s="282" t="s">
        <v>47</v>
      </c>
      <c r="AF7" s="282" t="s">
        <v>21</v>
      </c>
      <c r="AG7" s="282" t="s">
        <v>22</v>
      </c>
      <c r="AH7" s="282" t="s">
        <v>23</v>
      </c>
      <c r="AI7" s="282" t="s">
        <v>25</v>
      </c>
      <c r="AJ7" s="282" t="s">
        <v>250</v>
      </c>
      <c r="AK7" s="282" t="s">
        <v>36</v>
      </c>
      <c r="AL7" s="282" t="s">
        <v>48</v>
      </c>
      <c r="AM7" s="282" t="s">
        <v>50</v>
      </c>
      <c r="AN7" s="282" t="s">
        <v>53</v>
      </c>
      <c r="AO7" s="282" t="s">
        <v>54</v>
      </c>
      <c r="AP7" s="282" t="s">
        <v>56</v>
      </c>
      <c r="AQ7" s="282" t="s">
        <v>57</v>
      </c>
      <c r="AR7" s="282" t="s">
        <v>58</v>
      </c>
      <c r="AS7" s="282" t="s">
        <v>251</v>
      </c>
      <c r="AT7" s="282" t="s">
        <v>66</v>
      </c>
      <c r="AU7" s="282" t="s">
        <v>67</v>
      </c>
      <c r="AV7" s="282" t="s">
        <v>68</v>
      </c>
      <c r="AW7" s="282" t="s">
        <v>69</v>
      </c>
      <c r="AX7" s="282" t="s">
        <v>70</v>
      </c>
      <c r="AY7" s="282" t="s">
        <v>71</v>
      </c>
      <c r="AZ7" s="282" t="s">
        <v>72</v>
      </c>
      <c r="BA7" s="282" t="s">
        <v>73</v>
      </c>
      <c r="BB7" s="282" t="s">
        <v>74</v>
      </c>
      <c r="BC7" s="282" t="s">
        <v>75</v>
      </c>
      <c r="BD7" s="282" t="s">
        <v>76</v>
      </c>
      <c r="BE7" s="282" t="s">
        <v>77</v>
      </c>
      <c r="BF7" s="282" t="s">
        <v>78</v>
      </c>
      <c r="BG7" s="282" t="s">
        <v>79</v>
      </c>
      <c r="BH7" s="282" t="s">
        <v>83</v>
      </c>
    </row>
    <row r="8" spans="1:60" s="179" customFormat="1">
      <c r="A8" s="282" t="s">
        <v>84</v>
      </c>
      <c r="B8" s="282" t="s">
        <v>85</v>
      </c>
      <c r="C8" s="282" t="s">
        <v>85</v>
      </c>
      <c r="D8" s="282" t="s">
        <v>85</v>
      </c>
      <c r="E8" s="282" t="s">
        <v>85</v>
      </c>
      <c r="F8" s="282" t="s">
        <v>85</v>
      </c>
      <c r="G8" s="282" t="s">
        <v>85</v>
      </c>
      <c r="H8" s="282" t="s">
        <v>85</v>
      </c>
      <c r="I8" s="282" t="s">
        <v>85</v>
      </c>
      <c r="J8" s="282" t="s">
        <v>85</v>
      </c>
      <c r="K8" s="282" t="s">
        <v>85</v>
      </c>
      <c r="L8" s="282" t="s">
        <v>85</v>
      </c>
      <c r="M8" s="282" t="s">
        <v>85</v>
      </c>
      <c r="N8" s="282" t="s">
        <v>85</v>
      </c>
      <c r="O8" s="282" t="s">
        <v>85</v>
      </c>
      <c r="P8" s="282" t="s">
        <v>85</v>
      </c>
      <c r="Q8" s="282" t="s">
        <v>85</v>
      </c>
      <c r="R8" s="282" t="s">
        <v>85</v>
      </c>
      <c r="S8" s="282" t="s">
        <v>85</v>
      </c>
      <c r="T8" s="282" t="s">
        <v>85</v>
      </c>
      <c r="U8" s="282" t="s">
        <v>85</v>
      </c>
      <c r="V8" s="282" t="s">
        <v>85</v>
      </c>
      <c r="W8" s="282" t="s">
        <v>85</v>
      </c>
      <c r="X8" s="282" t="s">
        <v>85</v>
      </c>
      <c r="Y8" s="282" t="s">
        <v>85</v>
      </c>
      <c r="Z8" s="282" t="s">
        <v>85</v>
      </c>
      <c r="AA8" s="282" t="s">
        <v>85</v>
      </c>
      <c r="AB8" s="282" t="s">
        <v>85</v>
      </c>
      <c r="AC8" s="282" t="s">
        <v>85</v>
      </c>
      <c r="AD8" s="282" t="s">
        <v>85</v>
      </c>
      <c r="AE8" s="282" t="s">
        <v>85</v>
      </c>
      <c r="AF8" s="282" t="s">
        <v>85</v>
      </c>
      <c r="AG8" s="282" t="s">
        <v>85</v>
      </c>
      <c r="AH8" s="282" t="s">
        <v>85</v>
      </c>
      <c r="AI8" s="282" t="s">
        <v>85</v>
      </c>
      <c r="AJ8" s="282" t="s">
        <v>85</v>
      </c>
      <c r="AK8" s="282" t="s">
        <v>85</v>
      </c>
      <c r="AL8" s="282" t="s">
        <v>85</v>
      </c>
      <c r="AM8" s="282" t="s">
        <v>85</v>
      </c>
      <c r="AN8" s="282" t="s">
        <v>85</v>
      </c>
      <c r="AO8" s="282" t="s">
        <v>85</v>
      </c>
      <c r="AP8" s="282" t="s">
        <v>85</v>
      </c>
      <c r="AQ8" s="282" t="s">
        <v>85</v>
      </c>
      <c r="AR8" s="282" t="s">
        <v>85</v>
      </c>
      <c r="AS8" s="282" t="s">
        <v>85</v>
      </c>
      <c r="AT8" s="282" t="s">
        <v>85</v>
      </c>
      <c r="AU8" s="282" t="s">
        <v>85</v>
      </c>
      <c r="AV8" s="282" t="s">
        <v>85</v>
      </c>
      <c r="AW8" s="282" t="s">
        <v>85</v>
      </c>
      <c r="AX8" s="282" t="s">
        <v>85</v>
      </c>
      <c r="AY8" s="282" t="s">
        <v>85</v>
      </c>
      <c r="AZ8" s="282" t="s">
        <v>85</v>
      </c>
      <c r="BA8" s="282" t="s">
        <v>85</v>
      </c>
      <c r="BB8" s="282" t="s">
        <v>85</v>
      </c>
      <c r="BC8" s="282" t="s">
        <v>85</v>
      </c>
      <c r="BD8" s="282" t="s">
        <v>85</v>
      </c>
      <c r="BE8" s="282" t="s">
        <v>85</v>
      </c>
      <c r="BF8" s="282" t="s">
        <v>85</v>
      </c>
      <c r="BG8" s="282" t="s">
        <v>85</v>
      </c>
      <c r="BH8" s="282" t="s">
        <v>85</v>
      </c>
    </row>
    <row r="9" spans="1:60">
      <c r="A9" s="191" t="s">
        <v>86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</row>
    <row r="10" spans="1:60">
      <c r="A10" s="191" t="s">
        <v>87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</row>
    <row r="11" spans="1:60">
      <c r="A11" s="191" t="s">
        <v>88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</row>
    <row r="12" spans="1:60">
      <c r="A12" s="187" t="s">
        <v>89</v>
      </c>
      <c r="B12" s="284">
        <v>0</v>
      </c>
      <c r="C12" s="284">
        <v>369350.38</v>
      </c>
      <c r="D12" s="284">
        <v>157106.25</v>
      </c>
      <c r="E12" s="284">
        <v>26096.22</v>
      </c>
      <c r="F12" s="284">
        <v>70932.63</v>
      </c>
      <c r="G12" s="284">
        <v>35572.160000000003</v>
      </c>
      <c r="H12" s="284">
        <v>82294.539999999994</v>
      </c>
      <c r="I12" s="284">
        <v>129941.83</v>
      </c>
      <c r="J12" s="284">
        <v>0</v>
      </c>
      <c r="K12" s="284">
        <v>0</v>
      </c>
      <c r="L12" s="284">
        <v>24401.41</v>
      </c>
      <c r="M12" s="284">
        <v>92403.36</v>
      </c>
      <c r="N12" s="284">
        <v>173059.51</v>
      </c>
      <c r="O12" s="284">
        <v>39680.39</v>
      </c>
      <c r="P12" s="284">
        <v>11134</v>
      </c>
      <c r="Q12" s="284">
        <v>0</v>
      </c>
      <c r="R12" s="284">
        <v>0</v>
      </c>
      <c r="S12" s="284">
        <v>0</v>
      </c>
      <c r="T12" s="284">
        <v>50268.13</v>
      </c>
      <c r="U12" s="284">
        <v>0</v>
      </c>
      <c r="V12" s="284">
        <v>0</v>
      </c>
      <c r="W12" s="284">
        <v>0</v>
      </c>
      <c r="X12" s="284">
        <v>97075.43</v>
      </c>
      <c r="Y12" s="284">
        <v>0</v>
      </c>
      <c r="Z12" s="284">
        <v>0</v>
      </c>
      <c r="AA12" s="284">
        <v>0</v>
      </c>
      <c r="AB12" s="284">
        <v>0</v>
      </c>
      <c r="AC12" s="284">
        <v>1223282.7</v>
      </c>
      <c r="AD12" s="284">
        <v>835530.63</v>
      </c>
      <c r="AE12" s="284">
        <v>73688.639999999999</v>
      </c>
      <c r="AF12" s="284">
        <v>0</v>
      </c>
      <c r="AG12" s="284">
        <v>13859.64</v>
      </c>
      <c r="AH12" s="284">
        <v>0</v>
      </c>
      <c r="AI12" s="284">
        <v>0</v>
      </c>
      <c r="AJ12" s="284">
        <v>0</v>
      </c>
      <c r="AK12" s="284">
        <v>0</v>
      </c>
      <c r="AL12" s="284">
        <v>0</v>
      </c>
      <c r="AM12" s="284">
        <v>3367.2</v>
      </c>
      <c r="AN12" s="284">
        <v>41516</v>
      </c>
      <c r="AO12" s="284">
        <v>0</v>
      </c>
      <c r="AP12" s="284">
        <v>0</v>
      </c>
      <c r="AQ12" s="284">
        <v>0</v>
      </c>
      <c r="AR12" s="284">
        <v>6579.52</v>
      </c>
      <c r="AS12" s="284">
        <v>0</v>
      </c>
      <c r="AT12" s="284">
        <v>877778.43</v>
      </c>
      <c r="AU12" s="284">
        <v>348222.87</v>
      </c>
      <c r="AV12" s="284">
        <v>1177849.3</v>
      </c>
      <c r="AW12" s="284">
        <v>11633.32</v>
      </c>
      <c r="AX12" s="284">
        <v>354011.42</v>
      </c>
      <c r="AY12" s="284">
        <v>0</v>
      </c>
      <c r="AZ12" s="284">
        <v>0</v>
      </c>
      <c r="BA12" s="284">
        <v>0</v>
      </c>
      <c r="BB12" s="284">
        <v>0</v>
      </c>
      <c r="BC12" s="284">
        <v>0</v>
      </c>
      <c r="BD12" s="284">
        <v>0</v>
      </c>
      <c r="BE12" s="284">
        <v>0</v>
      </c>
      <c r="BF12" s="284">
        <v>217350.72</v>
      </c>
      <c r="BG12" s="284">
        <v>212290.73</v>
      </c>
      <c r="BH12" s="284">
        <v>6756277.3600000003</v>
      </c>
    </row>
    <row r="13" spans="1:60">
      <c r="A13" s="187" t="s">
        <v>90</v>
      </c>
      <c r="B13" s="284">
        <v>0</v>
      </c>
      <c r="C13" s="284">
        <v>4615</v>
      </c>
      <c r="D13" s="284">
        <v>0</v>
      </c>
      <c r="E13" s="284">
        <v>0</v>
      </c>
      <c r="F13" s="284">
        <v>0</v>
      </c>
      <c r="G13" s="284">
        <v>0</v>
      </c>
      <c r="H13" s="284">
        <v>0</v>
      </c>
      <c r="I13" s="284">
        <v>0</v>
      </c>
      <c r="J13" s="284">
        <v>309484.34999999998</v>
      </c>
      <c r="K13" s="284">
        <v>146340.57</v>
      </c>
      <c r="L13" s="284">
        <v>0</v>
      </c>
      <c r="M13" s="284">
        <v>0</v>
      </c>
      <c r="N13" s="284">
        <v>0</v>
      </c>
      <c r="O13" s="284">
        <v>0</v>
      </c>
      <c r="P13" s="284">
        <v>0</v>
      </c>
      <c r="Q13" s="284">
        <v>43567.72</v>
      </c>
      <c r="R13" s="284">
        <v>34035.519999999997</v>
      </c>
      <c r="S13" s="284">
        <v>39001</v>
      </c>
      <c r="T13" s="284">
        <v>50268.15</v>
      </c>
      <c r="U13" s="284">
        <v>33792</v>
      </c>
      <c r="V13" s="284">
        <v>65256</v>
      </c>
      <c r="W13" s="284">
        <v>53700</v>
      </c>
      <c r="X13" s="284">
        <v>97075.44</v>
      </c>
      <c r="Y13" s="284">
        <v>0</v>
      </c>
      <c r="Z13" s="284">
        <v>0</v>
      </c>
      <c r="AA13" s="284">
        <v>0</v>
      </c>
      <c r="AB13" s="284">
        <v>0</v>
      </c>
      <c r="AC13" s="284">
        <v>0</v>
      </c>
      <c r="AD13" s="284">
        <v>0</v>
      </c>
      <c r="AE13" s="284">
        <v>0</v>
      </c>
      <c r="AF13" s="284">
        <v>0</v>
      </c>
      <c r="AG13" s="284">
        <v>0</v>
      </c>
      <c r="AH13" s="284">
        <v>0</v>
      </c>
      <c r="AI13" s="284">
        <v>0</v>
      </c>
      <c r="AJ13" s="284">
        <v>0</v>
      </c>
      <c r="AK13" s="284">
        <v>0</v>
      </c>
      <c r="AL13" s="284">
        <v>0</v>
      </c>
      <c r="AM13" s="284">
        <v>0</v>
      </c>
      <c r="AN13" s="284">
        <v>0</v>
      </c>
      <c r="AO13" s="284">
        <v>80122</v>
      </c>
      <c r="AP13" s="284">
        <v>174621.9</v>
      </c>
      <c r="AQ13" s="284">
        <v>0</v>
      </c>
      <c r="AR13" s="284">
        <v>0</v>
      </c>
      <c r="AS13" s="284">
        <v>0</v>
      </c>
      <c r="AT13" s="284">
        <v>0</v>
      </c>
      <c r="AU13" s="284">
        <v>0</v>
      </c>
      <c r="AV13" s="284">
        <v>0</v>
      </c>
      <c r="AW13" s="284">
        <v>0</v>
      </c>
      <c r="AX13" s="284">
        <v>0</v>
      </c>
      <c r="AY13" s="284">
        <v>364656</v>
      </c>
      <c r="AZ13" s="284">
        <v>98163</v>
      </c>
      <c r="BA13" s="284">
        <v>350311</v>
      </c>
      <c r="BB13" s="284">
        <v>843986.28</v>
      </c>
      <c r="BC13" s="284">
        <v>1660396.43</v>
      </c>
      <c r="BD13" s="284">
        <v>3844907.96</v>
      </c>
      <c r="BE13" s="284">
        <v>338975.98</v>
      </c>
      <c r="BF13" s="284">
        <v>0</v>
      </c>
      <c r="BG13" s="284">
        <v>0</v>
      </c>
      <c r="BH13" s="284">
        <v>8642506.3000000007</v>
      </c>
    </row>
    <row r="14" spans="1:60">
      <c r="A14" s="187" t="s">
        <v>91</v>
      </c>
      <c r="B14" s="284">
        <v>0</v>
      </c>
      <c r="C14" s="284">
        <v>0</v>
      </c>
      <c r="D14" s="284">
        <v>0</v>
      </c>
      <c r="E14" s="284">
        <v>0</v>
      </c>
      <c r="F14" s="284">
        <v>0</v>
      </c>
      <c r="G14" s="284">
        <v>0</v>
      </c>
      <c r="H14" s="284">
        <v>0</v>
      </c>
      <c r="I14" s="284">
        <v>0</v>
      </c>
      <c r="J14" s="284">
        <v>0</v>
      </c>
      <c r="K14" s="284">
        <v>0</v>
      </c>
      <c r="L14" s="284">
        <v>0</v>
      </c>
      <c r="M14" s="284">
        <v>0</v>
      </c>
      <c r="N14" s="284">
        <v>0</v>
      </c>
      <c r="O14" s="284">
        <v>0</v>
      </c>
      <c r="P14" s="284">
        <v>0</v>
      </c>
      <c r="Q14" s="284">
        <v>0</v>
      </c>
      <c r="R14" s="284">
        <v>0</v>
      </c>
      <c r="S14" s="284">
        <v>0</v>
      </c>
      <c r="T14" s="284">
        <v>0</v>
      </c>
      <c r="U14" s="284">
        <v>0</v>
      </c>
      <c r="V14" s="284">
        <v>0</v>
      </c>
      <c r="W14" s="284">
        <v>0</v>
      </c>
      <c r="X14" s="284">
        <v>0</v>
      </c>
      <c r="Y14" s="284">
        <v>0</v>
      </c>
      <c r="Z14" s="284">
        <v>0</v>
      </c>
      <c r="AA14" s="284">
        <v>0</v>
      </c>
      <c r="AB14" s="284">
        <v>0</v>
      </c>
      <c r="AC14" s="284">
        <v>0</v>
      </c>
      <c r="AD14" s="284">
        <v>0</v>
      </c>
      <c r="AE14" s="284">
        <v>0</v>
      </c>
      <c r="AF14" s="284">
        <v>0</v>
      </c>
      <c r="AG14" s="284">
        <v>0</v>
      </c>
      <c r="AH14" s="284">
        <v>0</v>
      </c>
      <c r="AI14" s="284">
        <v>0</v>
      </c>
      <c r="AJ14" s="284">
        <v>0</v>
      </c>
      <c r="AK14" s="284">
        <v>0</v>
      </c>
      <c r="AL14" s="284">
        <v>0</v>
      </c>
      <c r="AM14" s="284">
        <v>0</v>
      </c>
      <c r="AN14" s="284">
        <v>0</v>
      </c>
      <c r="AO14" s="284">
        <v>0</v>
      </c>
      <c r="AP14" s="284">
        <v>0</v>
      </c>
      <c r="AQ14" s="284">
        <v>0</v>
      </c>
      <c r="AR14" s="284">
        <v>0</v>
      </c>
      <c r="AS14" s="284">
        <v>0</v>
      </c>
      <c r="AT14" s="284">
        <v>0</v>
      </c>
      <c r="AU14" s="284">
        <v>0</v>
      </c>
      <c r="AV14" s="284">
        <v>0</v>
      </c>
      <c r="AW14" s="284">
        <v>0</v>
      </c>
      <c r="AX14" s="284">
        <v>0</v>
      </c>
      <c r="AY14" s="284">
        <v>0</v>
      </c>
      <c r="AZ14" s="284">
        <v>0</v>
      </c>
      <c r="BA14" s="284">
        <v>0</v>
      </c>
      <c r="BB14" s="284">
        <v>0</v>
      </c>
      <c r="BC14" s="284">
        <v>0</v>
      </c>
      <c r="BD14" s="284">
        <v>0</v>
      </c>
      <c r="BE14" s="284">
        <v>0</v>
      </c>
      <c r="BF14" s="284">
        <v>0</v>
      </c>
      <c r="BG14" s="284">
        <v>0</v>
      </c>
      <c r="BH14" s="284">
        <v>76143.7</v>
      </c>
    </row>
    <row r="15" spans="1:60">
      <c r="A15" s="187" t="s">
        <v>92</v>
      </c>
      <c r="B15" s="284">
        <v>0</v>
      </c>
      <c r="C15" s="284">
        <v>0</v>
      </c>
      <c r="D15" s="284">
        <v>0</v>
      </c>
      <c r="E15" s="284">
        <v>0</v>
      </c>
      <c r="F15" s="284">
        <v>0</v>
      </c>
      <c r="G15" s="284">
        <v>0</v>
      </c>
      <c r="H15" s="284">
        <v>0</v>
      </c>
      <c r="I15" s="284">
        <v>0</v>
      </c>
      <c r="J15" s="284">
        <v>0</v>
      </c>
      <c r="K15" s="284">
        <v>0</v>
      </c>
      <c r="L15" s="284">
        <v>0</v>
      </c>
      <c r="M15" s="284">
        <v>0</v>
      </c>
      <c r="N15" s="284">
        <v>0</v>
      </c>
      <c r="O15" s="284">
        <v>0</v>
      </c>
      <c r="P15" s="284">
        <v>0</v>
      </c>
      <c r="Q15" s="284">
        <v>0</v>
      </c>
      <c r="R15" s="284">
        <v>0</v>
      </c>
      <c r="S15" s="284">
        <v>0</v>
      </c>
      <c r="T15" s="284">
        <v>0</v>
      </c>
      <c r="U15" s="284">
        <v>0</v>
      </c>
      <c r="V15" s="284">
        <v>0</v>
      </c>
      <c r="W15" s="284">
        <v>0</v>
      </c>
      <c r="X15" s="284">
        <v>0</v>
      </c>
      <c r="Y15" s="284">
        <v>0</v>
      </c>
      <c r="Z15" s="284">
        <v>0</v>
      </c>
      <c r="AA15" s="284">
        <v>0</v>
      </c>
      <c r="AB15" s="284">
        <v>0</v>
      </c>
      <c r="AC15" s="284">
        <v>283532</v>
      </c>
      <c r="AD15" s="284">
        <v>182462</v>
      </c>
      <c r="AE15" s="284">
        <v>0</v>
      </c>
      <c r="AF15" s="284">
        <v>0</v>
      </c>
      <c r="AG15" s="284">
        <v>0</v>
      </c>
      <c r="AH15" s="284">
        <v>0</v>
      </c>
      <c r="AI15" s="284">
        <v>0</v>
      </c>
      <c r="AJ15" s="284">
        <v>0</v>
      </c>
      <c r="AK15" s="284">
        <v>0</v>
      </c>
      <c r="AL15" s="284">
        <v>0</v>
      </c>
      <c r="AM15" s="284">
        <v>0</v>
      </c>
      <c r="AN15" s="284">
        <v>0</v>
      </c>
      <c r="AO15" s="284">
        <v>0</v>
      </c>
      <c r="AP15" s="284">
        <v>0</v>
      </c>
      <c r="AQ15" s="284">
        <v>0</v>
      </c>
      <c r="AR15" s="284">
        <v>0</v>
      </c>
      <c r="AS15" s="284">
        <v>0</v>
      </c>
      <c r="AT15" s="284">
        <v>0</v>
      </c>
      <c r="AU15" s="284">
        <v>0</v>
      </c>
      <c r="AV15" s="284">
        <v>0</v>
      </c>
      <c r="AW15" s="284">
        <v>0</v>
      </c>
      <c r="AX15" s="284">
        <v>0</v>
      </c>
      <c r="AY15" s="284">
        <v>0</v>
      </c>
      <c r="AZ15" s="284">
        <v>0</v>
      </c>
      <c r="BA15" s="284">
        <v>0</v>
      </c>
      <c r="BB15" s="284">
        <v>0</v>
      </c>
      <c r="BC15" s="284">
        <v>0</v>
      </c>
      <c r="BD15" s="284">
        <v>0</v>
      </c>
      <c r="BE15" s="284">
        <v>0</v>
      </c>
      <c r="BF15" s="284">
        <v>0</v>
      </c>
      <c r="BG15" s="284">
        <v>0</v>
      </c>
      <c r="BH15" s="284">
        <v>465994</v>
      </c>
    </row>
    <row r="16" spans="1:60">
      <c r="A16" s="187" t="s">
        <v>93</v>
      </c>
      <c r="B16" s="284">
        <v>0</v>
      </c>
      <c r="C16" s="284">
        <v>0</v>
      </c>
      <c r="D16" s="284">
        <v>0</v>
      </c>
      <c r="E16" s="284">
        <v>0</v>
      </c>
      <c r="F16" s="284">
        <v>0</v>
      </c>
      <c r="G16" s="284">
        <v>0</v>
      </c>
      <c r="H16" s="284">
        <v>0</v>
      </c>
      <c r="I16" s="284">
        <v>0</v>
      </c>
      <c r="J16" s="284">
        <v>0</v>
      </c>
      <c r="K16" s="284">
        <v>0</v>
      </c>
      <c r="L16" s="284">
        <v>0</v>
      </c>
      <c r="M16" s="284">
        <v>0</v>
      </c>
      <c r="N16" s="284">
        <v>0</v>
      </c>
      <c r="O16" s="284">
        <v>0</v>
      </c>
      <c r="P16" s="284">
        <v>0</v>
      </c>
      <c r="Q16" s="284">
        <v>0</v>
      </c>
      <c r="R16" s="284">
        <v>0</v>
      </c>
      <c r="S16" s="284">
        <v>0</v>
      </c>
      <c r="T16" s="284">
        <v>0</v>
      </c>
      <c r="U16" s="284">
        <v>0</v>
      </c>
      <c r="V16" s="284">
        <v>0</v>
      </c>
      <c r="W16" s="284">
        <v>0</v>
      </c>
      <c r="X16" s="284">
        <v>0</v>
      </c>
      <c r="Y16" s="284">
        <v>0</v>
      </c>
      <c r="Z16" s="284">
        <v>0</v>
      </c>
      <c r="AA16" s="284">
        <v>0</v>
      </c>
      <c r="AB16" s="284">
        <v>0</v>
      </c>
      <c r="AC16" s="284">
        <v>8600</v>
      </c>
      <c r="AD16" s="284">
        <v>11891</v>
      </c>
      <c r="AE16" s="284">
        <v>0</v>
      </c>
      <c r="AF16" s="284">
        <v>0</v>
      </c>
      <c r="AG16" s="284">
        <v>0</v>
      </c>
      <c r="AH16" s="284">
        <v>0</v>
      </c>
      <c r="AI16" s="284">
        <v>0</v>
      </c>
      <c r="AJ16" s="284">
        <v>0</v>
      </c>
      <c r="AK16" s="284">
        <v>0</v>
      </c>
      <c r="AL16" s="284">
        <v>0</v>
      </c>
      <c r="AM16" s="284">
        <v>0</v>
      </c>
      <c r="AN16" s="284">
        <v>0</v>
      </c>
      <c r="AO16" s="284">
        <v>0</v>
      </c>
      <c r="AP16" s="284">
        <v>0</v>
      </c>
      <c r="AQ16" s="284">
        <v>0</v>
      </c>
      <c r="AR16" s="284">
        <v>0</v>
      </c>
      <c r="AS16" s="284">
        <v>0</v>
      </c>
      <c r="AT16" s="284">
        <v>0</v>
      </c>
      <c r="AU16" s="284">
        <v>0</v>
      </c>
      <c r="AV16" s="284">
        <v>0</v>
      </c>
      <c r="AW16" s="284">
        <v>0</v>
      </c>
      <c r="AX16" s="284">
        <v>0</v>
      </c>
      <c r="AY16" s="284">
        <v>0</v>
      </c>
      <c r="AZ16" s="284">
        <v>0</v>
      </c>
      <c r="BA16" s="284">
        <v>0</v>
      </c>
      <c r="BB16" s="284">
        <v>0</v>
      </c>
      <c r="BC16" s="284">
        <v>0</v>
      </c>
      <c r="BD16" s="284">
        <v>0</v>
      </c>
      <c r="BE16" s="284">
        <v>0</v>
      </c>
      <c r="BF16" s="284">
        <v>0</v>
      </c>
      <c r="BG16" s="284">
        <v>0</v>
      </c>
      <c r="BH16" s="284">
        <v>20491</v>
      </c>
    </row>
    <row r="17" spans="1:60">
      <c r="A17" s="192" t="s">
        <v>94</v>
      </c>
      <c r="B17" s="193">
        <v>0</v>
      </c>
      <c r="C17" s="193">
        <v>373965.38</v>
      </c>
      <c r="D17" s="193">
        <v>157106.25</v>
      </c>
      <c r="E17" s="193">
        <v>26096.22</v>
      </c>
      <c r="F17" s="193">
        <v>70932.63</v>
      </c>
      <c r="G17" s="193">
        <v>35572.160000000003</v>
      </c>
      <c r="H17" s="193">
        <v>82294.539999999994</v>
      </c>
      <c r="I17" s="193">
        <v>129941.83</v>
      </c>
      <c r="J17" s="193">
        <v>309484.34999999998</v>
      </c>
      <c r="K17" s="193">
        <v>146340.57</v>
      </c>
      <c r="L17" s="193">
        <v>24401.41</v>
      </c>
      <c r="M17" s="193">
        <v>92403.36</v>
      </c>
      <c r="N17" s="193">
        <v>173059.51</v>
      </c>
      <c r="O17" s="193">
        <v>39680.39</v>
      </c>
      <c r="P17" s="193">
        <v>11134</v>
      </c>
      <c r="Q17" s="193">
        <v>43567.72</v>
      </c>
      <c r="R17" s="193">
        <v>34035.519999999997</v>
      </c>
      <c r="S17" s="193">
        <v>39001</v>
      </c>
      <c r="T17" s="193">
        <v>100536.28</v>
      </c>
      <c r="U17" s="193">
        <v>33792</v>
      </c>
      <c r="V17" s="193">
        <v>65256</v>
      </c>
      <c r="W17" s="193">
        <v>53700</v>
      </c>
      <c r="X17" s="193">
        <v>194150.87</v>
      </c>
      <c r="Y17" s="193">
        <v>0</v>
      </c>
      <c r="Z17" s="193">
        <v>0</v>
      </c>
      <c r="AA17" s="193">
        <v>0</v>
      </c>
      <c r="AB17" s="193">
        <v>0</v>
      </c>
      <c r="AC17" s="193">
        <v>1515414.7</v>
      </c>
      <c r="AD17" s="193">
        <v>1029883.63</v>
      </c>
      <c r="AE17" s="193">
        <v>73688.639999999999</v>
      </c>
      <c r="AF17" s="193">
        <v>0</v>
      </c>
      <c r="AG17" s="193">
        <v>13859.64</v>
      </c>
      <c r="AH17" s="193">
        <v>0</v>
      </c>
      <c r="AI17" s="193">
        <v>0</v>
      </c>
      <c r="AJ17" s="193">
        <v>0</v>
      </c>
      <c r="AK17" s="193">
        <v>0</v>
      </c>
      <c r="AL17" s="193">
        <v>0</v>
      </c>
      <c r="AM17" s="193">
        <v>3367.2</v>
      </c>
      <c r="AN17" s="193">
        <v>41516</v>
      </c>
      <c r="AO17" s="193">
        <v>80122</v>
      </c>
      <c r="AP17" s="193">
        <v>174621.9</v>
      </c>
      <c r="AQ17" s="193">
        <v>0</v>
      </c>
      <c r="AR17" s="193">
        <v>6579.52</v>
      </c>
      <c r="AS17" s="193">
        <v>0</v>
      </c>
      <c r="AT17" s="193">
        <v>877778.43</v>
      </c>
      <c r="AU17" s="193">
        <v>348222.87</v>
      </c>
      <c r="AV17" s="193">
        <v>1177849.3</v>
      </c>
      <c r="AW17" s="193">
        <v>11633.32</v>
      </c>
      <c r="AX17" s="193">
        <v>354011.42</v>
      </c>
      <c r="AY17" s="193">
        <v>364656</v>
      </c>
      <c r="AZ17" s="193">
        <v>98163</v>
      </c>
      <c r="BA17" s="193">
        <v>350311</v>
      </c>
      <c r="BB17" s="193">
        <v>843986.28</v>
      </c>
      <c r="BC17" s="193">
        <v>1660396.43</v>
      </c>
      <c r="BD17" s="193">
        <v>3844907.96</v>
      </c>
      <c r="BE17" s="193">
        <v>338975.98</v>
      </c>
      <c r="BF17" s="193">
        <v>217350.72</v>
      </c>
      <c r="BG17" s="193">
        <v>212290.73</v>
      </c>
      <c r="BH17" s="193">
        <v>15961412.359999999</v>
      </c>
    </row>
    <row r="18" spans="1:60">
      <c r="A18" s="191" t="s">
        <v>95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</row>
    <row r="19" spans="1:60">
      <c r="A19" s="187" t="s">
        <v>96</v>
      </c>
      <c r="B19" s="284">
        <v>0</v>
      </c>
      <c r="C19" s="284">
        <v>0</v>
      </c>
      <c r="D19" s="284">
        <v>0</v>
      </c>
      <c r="E19" s="284">
        <v>1540</v>
      </c>
      <c r="F19" s="284">
        <v>0</v>
      </c>
      <c r="G19" s="284">
        <v>0</v>
      </c>
      <c r="H19" s="284">
        <v>0</v>
      </c>
      <c r="I19" s="284">
        <v>0</v>
      </c>
      <c r="J19" s="284">
        <v>0</v>
      </c>
      <c r="K19" s="284">
        <v>0</v>
      </c>
      <c r="L19" s="284">
        <v>0</v>
      </c>
      <c r="M19" s="284">
        <v>0</v>
      </c>
      <c r="N19" s="284">
        <v>10</v>
      </c>
      <c r="O19" s="284">
        <v>0</v>
      </c>
      <c r="P19" s="284">
        <v>0</v>
      </c>
      <c r="Q19" s="284">
        <v>0</v>
      </c>
      <c r="R19" s="284">
        <v>0</v>
      </c>
      <c r="S19" s="284">
        <v>0</v>
      </c>
      <c r="T19" s="284">
        <v>0</v>
      </c>
      <c r="U19" s="284">
        <v>0</v>
      </c>
      <c r="V19" s="284">
        <v>0</v>
      </c>
      <c r="W19" s="284">
        <v>0</v>
      </c>
      <c r="X19" s="284">
        <v>0</v>
      </c>
      <c r="Y19" s="284">
        <v>0</v>
      </c>
      <c r="Z19" s="284">
        <v>0</v>
      </c>
      <c r="AA19" s="284">
        <v>0</v>
      </c>
      <c r="AB19" s="284">
        <v>0</v>
      </c>
      <c r="AC19" s="284">
        <v>0</v>
      </c>
      <c r="AD19" s="284">
        <v>0</v>
      </c>
      <c r="AE19" s="284">
        <v>0</v>
      </c>
      <c r="AF19" s="284">
        <v>0</v>
      </c>
      <c r="AG19" s="284">
        <v>0</v>
      </c>
      <c r="AH19" s="284">
        <v>0</v>
      </c>
      <c r="AI19" s="284">
        <v>0</v>
      </c>
      <c r="AJ19" s="284">
        <v>0</v>
      </c>
      <c r="AK19" s="284">
        <v>3760</v>
      </c>
      <c r="AL19" s="284">
        <v>43746.42</v>
      </c>
      <c r="AM19" s="284">
        <v>0</v>
      </c>
      <c r="AN19" s="284">
        <v>17000</v>
      </c>
      <c r="AO19" s="284">
        <v>0</v>
      </c>
      <c r="AP19" s="284">
        <v>0</v>
      </c>
      <c r="AQ19" s="284">
        <v>890</v>
      </c>
      <c r="AR19" s="284">
        <v>2245.44</v>
      </c>
      <c r="AS19" s="284">
        <v>0</v>
      </c>
      <c r="AT19" s="284">
        <v>0</v>
      </c>
      <c r="AU19" s="284">
        <v>0</v>
      </c>
      <c r="AV19" s="284">
        <v>0</v>
      </c>
      <c r="AW19" s="284">
        <v>0</v>
      </c>
      <c r="AX19" s="284">
        <v>0</v>
      </c>
      <c r="AY19" s="284">
        <v>0</v>
      </c>
      <c r="AZ19" s="284">
        <v>0</v>
      </c>
      <c r="BA19" s="284">
        <v>0</v>
      </c>
      <c r="BB19" s="284">
        <v>0</v>
      </c>
      <c r="BC19" s="284">
        <v>0</v>
      </c>
      <c r="BD19" s="284">
        <v>0</v>
      </c>
      <c r="BE19" s="284">
        <v>0</v>
      </c>
      <c r="BF19" s="284">
        <v>0</v>
      </c>
      <c r="BG19" s="284">
        <v>0</v>
      </c>
      <c r="BH19" s="284">
        <v>109191.86</v>
      </c>
    </row>
    <row r="20" spans="1:60">
      <c r="A20" s="187" t="s">
        <v>97</v>
      </c>
      <c r="B20" s="284">
        <v>0</v>
      </c>
      <c r="C20" s="284">
        <v>0</v>
      </c>
      <c r="D20" s="284">
        <v>0</v>
      </c>
      <c r="E20" s="284">
        <v>0</v>
      </c>
      <c r="F20" s="284">
        <v>0</v>
      </c>
      <c r="G20" s="284">
        <v>0</v>
      </c>
      <c r="H20" s="284">
        <v>0</v>
      </c>
      <c r="I20" s="284">
        <v>0</v>
      </c>
      <c r="J20" s="284">
        <v>0</v>
      </c>
      <c r="K20" s="284">
        <v>0</v>
      </c>
      <c r="L20" s="284">
        <v>0</v>
      </c>
      <c r="M20" s="284">
        <v>0</v>
      </c>
      <c r="N20" s="284">
        <v>0</v>
      </c>
      <c r="O20" s="284">
        <v>0</v>
      </c>
      <c r="P20" s="284">
        <v>0</v>
      </c>
      <c r="Q20" s="284">
        <v>0</v>
      </c>
      <c r="R20" s="284">
        <v>0</v>
      </c>
      <c r="S20" s="284">
        <v>0</v>
      </c>
      <c r="T20" s="284">
        <v>0</v>
      </c>
      <c r="U20" s="284">
        <v>0</v>
      </c>
      <c r="V20" s="284">
        <v>0</v>
      </c>
      <c r="W20" s="284">
        <v>0</v>
      </c>
      <c r="X20" s="284">
        <v>0</v>
      </c>
      <c r="Y20" s="284">
        <v>0</v>
      </c>
      <c r="Z20" s="284">
        <v>0</v>
      </c>
      <c r="AA20" s="284">
        <v>0</v>
      </c>
      <c r="AB20" s="284">
        <v>0</v>
      </c>
      <c r="AC20" s="284">
        <v>0</v>
      </c>
      <c r="AD20" s="284">
        <v>0</v>
      </c>
      <c r="AE20" s="284">
        <v>0</v>
      </c>
      <c r="AF20" s="284">
        <v>0</v>
      </c>
      <c r="AG20" s="284">
        <v>0</v>
      </c>
      <c r="AH20" s="284">
        <v>0</v>
      </c>
      <c r="AI20" s="284">
        <v>0</v>
      </c>
      <c r="AJ20" s="284">
        <v>0</v>
      </c>
      <c r="AK20" s="284">
        <v>0</v>
      </c>
      <c r="AL20" s="284">
        <v>2768.38</v>
      </c>
      <c r="AM20" s="284">
        <v>0</v>
      </c>
      <c r="AN20" s="284">
        <v>0</v>
      </c>
      <c r="AO20" s="284">
        <v>0</v>
      </c>
      <c r="AP20" s="284">
        <v>0</v>
      </c>
      <c r="AQ20" s="284">
        <v>2694.45</v>
      </c>
      <c r="AR20" s="284">
        <v>1210</v>
      </c>
      <c r="AS20" s="284">
        <v>0</v>
      </c>
      <c r="AT20" s="284">
        <v>0</v>
      </c>
      <c r="AU20" s="284">
        <v>0</v>
      </c>
      <c r="AV20" s="284">
        <v>0</v>
      </c>
      <c r="AW20" s="284">
        <v>0</v>
      </c>
      <c r="AX20" s="284">
        <v>0</v>
      </c>
      <c r="AY20" s="284">
        <v>0</v>
      </c>
      <c r="AZ20" s="284">
        <v>0</v>
      </c>
      <c r="BA20" s="284">
        <v>0</v>
      </c>
      <c r="BB20" s="284">
        <v>0</v>
      </c>
      <c r="BC20" s="284">
        <v>0</v>
      </c>
      <c r="BD20" s="284">
        <v>0</v>
      </c>
      <c r="BE20" s="284">
        <v>0</v>
      </c>
      <c r="BF20" s="284">
        <v>0</v>
      </c>
      <c r="BG20" s="284">
        <v>0</v>
      </c>
      <c r="BH20" s="284">
        <v>6672.83</v>
      </c>
    </row>
    <row r="21" spans="1:60">
      <c r="A21" s="187" t="s">
        <v>98</v>
      </c>
      <c r="B21" s="284">
        <v>0</v>
      </c>
      <c r="C21" s="284">
        <v>0</v>
      </c>
      <c r="D21" s="284">
        <v>0</v>
      </c>
      <c r="E21" s="284">
        <v>0</v>
      </c>
      <c r="F21" s="284">
        <v>0</v>
      </c>
      <c r="G21" s="284">
        <v>0</v>
      </c>
      <c r="H21" s="284">
        <v>0</v>
      </c>
      <c r="I21" s="284">
        <v>0</v>
      </c>
      <c r="J21" s="284">
        <v>0</v>
      </c>
      <c r="K21" s="284">
        <v>0</v>
      </c>
      <c r="L21" s="284">
        <v>0</v>
      </c>
      <c r="M21" s="284">
        <v>0</v>
      </c>
      <c r="N21" s="284">
        <v>0</v>
      </c>
      <c r="O21" s="284">
        <v>0</v>
      </c>
      <c r="P21" s="284">
        <v>0</v>
      </c>
      <c r="Q21" s="284">
        <v>0</v>
      </c>
      <c r="R21" s="284">
        <v>0</v>
      </c>
      <c r="S21" s="284">
        <v>0</v>
      </c>
      <c r="T21" s="284">
        <v>0</v>
      </c>
      <c r="U21" s="284">
        <v>0</v>
      </c>
      <c r="V21" s="284">
        <v>0</v>
      </c>
      <c r="W21" s="284">
        <v>0</v>
      </c>
      <c r="X21" s="284">
        <v>0</v>
      </c>
      <c r="Y21" s="284">
        <v>0</v>
      </c>
      <c r="Z21" s="284">
        <v>0</v>
      </c>
      <c r="AA21" s="284">
        <v>0</v>
      </c>
      <c r="AB21" s="284">
        <v>0</v>
      </c>
      <c r="AC21" s="284">
        <v>0</v>
      </c>
      <c r="AD21" s="284">
        <v>0</v>
      </c>
      <c r="AE21" s="284">
        <v>0</v>
      </c>
      <c r="AF21" s="284">
        <v>0</v>
      </c>
      <c r="AG21" s="284">
        <v>0</v>
      </c>
      <c r="AH21" s="284">
        <v>0</v>
      </c>
      <c r="AI21" s="284">
        <v>0</v>
      </c>
      <c r="AJ21" s="284">
        <v>0</v>
      </c>
      <c r="AK21" s="284">
        <v>0</v>
      </c>
      <c r="AL21" s="284">
        <v>0</v>
      </c>
      <c r="AM21" s="284">
        <v>0</v>
      </c>
      <c r="AN21" s="284">
        <v>0</v>
      </c>
      <c r="AO21" s="284">
        <v>0</v>
      </c>
      <c r="AP21" s="284">
        <v>0</v>
      </c>
      <c r="AQ21" s="284">
        <v>25000</v>
      </c>
      <c r="AR21" s="284">
        <v>0</v>
      </c>
      <c r="AS21" s="284">
        <v>0</v>
      </c>
      <c r="AT21" s="284">
        <v>0</v>
      </c>
      <c r="AU21" s="284">
        <v>0</v>
      </c>
      <c r="AV21" s="284">
        <v>0</v>
      </c>
      <c r="AW21" s="284">
        <v>0</v>
      </c>
      <c r="AX21" s="284">
        <v>0</v>
      </c>
      <c r="AY21" s="284">
        <v>0</v>
      </c>
      <c r="AZ21" s="284">
        <v>0</v>
      </c>
      <c r="BA21" s="284">
        <v>0</v>
      </c>
      <c r="BB21" s="284">
        <v>0</v>
      </c>
      <c r="BC21" s="284">
        <v>0</v>
      </c>
      <c r="BD21" s="284">
        <v>0</v>
      </c>
      <c r="BE21" s="284">
        <v>0</v>
      </c>
      <c r="BF21" s="284">
        <v>0</v>
      </c>
      <c r="BG21" s="284">
        <v>0</v>
      </c>
      <c r="BH21" s="284">
        <v>25000</v>
      </c>
    </row>
    <row r="22" spans="1:60">
      <c r="A22" s="192" t="s">
        <v>99</v>
      </c>
      <c r="B22" s="193">
        <v>0</v>
      </c>
      <c r="C22" s="193">
        <v>0</v>
      </c>
      <c r="D22" s="193">
        <v>0</v>
      </c>
      <c r="E22" s="193">
        <v>1540</v>
      </c>
      <c r="F22" s="193">
        <v>0</v>
      </c>
      <c r="G22" s="193">
        <v>0</v>
      </c>
      <c r="H22" s="193">
        <v>0</v>
      </c>
      <c r="I22" s="193">
        <v>0</v>
      </c>
      <c r="J22" s="193">
        <v>0</v>
      </c>
      <c r="K22" s="193">
        <v>0</v>
      </c>
      <c r="L22" s="193">
        <v>0</v>
      </c>
      <c r="M22" s="193">
        <v>0</v>
      </c>
      <c r="N22" s="193">
        <v>10</v>
      </c>
      <c r="O22" s="193">
        <v>0</v>
      </c>
      <c r="P22" s="193">
        <v>0</v>
      </c>
      <c r="Q22" s="193">
        <v>0</v>
      </c>
      <c r="R22" s="193">
        <v>0</v>
      </c>
      <c r="S22" s="193">
        <v>0</v>
      </c>
      <c r="T22" s="193">
        <v>0</v>
      </c>
      <c r="U22" s="193">
        <v>0</v>
      </c>
      <c r="V22" s="193">
        <v>0</v>
      </c>
      <c r="W22" s="193">
        <v>0</v>
      </c>
      <c r="X22" s="193">
        <v>0</v>
      </c>
      <c r="Y22" s="193">
        <v>0</v>
      </c>
      <c r="Z22" s="193">
        <v>0</v>
      </c>
      <c r="AA22" s="193">
        <v>0</v>
      </c>
      <c r="AB22" s="193">
        <v>0</v>
      </c>
      <c r="AC22" s="193">
        <v>0</v>
      </c>
      <c r="AD22" s="193">
        <v>0</v>
      </c>
      <c r="AE22" s="193">
        <v>0</v>
      </c>
      <c r="AF22" s="193">
        <v>0</v>
      </c>
      <c r="AG22" s="193">
        <v>0</v>
      </c>
      <c r="AH22" s="193">
        <v>0</v>
      </c>
      <c r="AI22" s="193">
        <v>0</v>
      </c>
      <c r="AJ22" s="193">
        <v>0</v>
      </c>
      <c r="AK22" s="193">
        <v>3760</v>
      </c>
      <c r="AL22" s="193">
        <v>46514.8</v>
      </c>
      <c r="AM22" s="193">
        <v>0</v>
      </c>
      <c r="AN22" s="193">
        <v>17000</v>
      </c>
      <c r="AO22" s="193">
        <v>0</v>
      </c>
      <c r="AP22" s="193">
        <v>0</v>
      </c>
      <c r="AQ22" s="193">
        <v>28584.45</v>
      </c>
      <c r="AR22" s="193">
        <v>3455.44</v>
      </c>
      <c r="AS22" s="193">
        <v>0</v>
      </c>
      <c r="AT22" s="193">
        <v>0</v>
      </c>
      <c r="AU22" s="193">
        <v>0</v>
      </c>
      <c r="AV22" s="193">
        <v>0</v>
      </c>
      <c r="AW22" s="193">
        <v>0</v>
      </c>
      <c r="AX22" s="193">
        <v>0</v>
      </c>
      <c r="AY22" s="193">
        <v>0</v>
      </c>
      <c r="AZ22" s="193">
        <v>0</v>
      </c>
      <c r="BA22" s="193">
        <v>0</v>
      </c>
      <c r="BB22" s="193">
        <v>0</v>
      </c>
      <c r="BC22" s="193">
        <v>0</v>
      </c>
      <c r="BD22" s="193">
        <v>0</v>
      </c>
      <c r="BE22" s="193">
        <v>0</v>
      </c>
      <c r="BF22" s="193">
        <v>0</v>
      </c>
      <c r="BG22" s="193">
        <v>0</v>
      </c>
      <c r="BH22" s="193">
        <v>140864.69</v>
      </c>
    </row>
    <row r="23" spans="1:60">
      <c r="A23" s="187" t="s">
        <v>100</v>
      </c>
      <c r="B23" s="284">
        <v>0</v>
      </c>
      <c r="C23" s="284">
        <v>208844.1</v>
      </c>
      <c r="D23" s="284">
        <v>64526</v>
      </c>
      <c r="E23" s="284">
        <v>12502</v>
      </c>
      <c r="F23" s="284">
        <v>19358</v>
      </c>
      <c r="G23" s="284">
        <v>7259</v>
      </c>
      <c r="H23" s="284">
        <v>19514</v>
      </c>
      <c r="I23" s="284">
        <v>31423</v>
      </c>
      <c r="J23" s="284">
        <v>19886.900000000001</v>
      </c>
      <c r="K23" s="284">
        <v>0</v>
      </c>
      <c r="L23" s="284">
        <v>0</v>
      </c>
      <c r="M23" s="284">
        <v>0</v>
      </c>
      <c r="N23" s="284">
        <v>0</v>
      </c>
      <c r="O23" s="284">
        <v>0</v>
      </c>
      <c r="P23" s="284">
        <v>0</v>
      </c>
      <c r="Q23" s="284">
        <v>0</v>
      </c>
      <c r="R23" s="284">
        <v>0</v>
      </c>
      <c r="S23" s="284">
        <v>0</v>
      </c>
      <c r="T23" s="284">
        <v>0</v>
      </c>
      <c r="U23" s="284">
        <v>0</v>
      </c>
      <c r="V23" s="284">
        <v>0</v>
      </c>
      <c r="W23" s="284">
        <v>0</v>
      </c>
      <c r="X23" s="284">
        <v>0</v>
      </c>
      <c r="Y23" s="284">
        <v>4334</v>
      </c>
      <c r="Z23" s="284">
        <v>1667</v>
      </c>
      <c r="AA23" s="284">
        <v>1334</v>
      </c>
      <c r="AB23" s="284">
        <v>556</v>
      </c>
      <c r="AC23" s="284">
        <v>0</v>
      </c>
      <c r="AD23" s="284">
        <v>0</v>
      </c>
      <c r="AE23" s="284">
        <v>0</v>
      </c>
      <c r="AF23" s="284">
        <v>0</v>
      </c>
      <c r="AG23" s="284">
        <v>0</v>
      </c>
      <c r="AH23" s="284">
        <v>0</v>
      </c>
      <c r="AI23" s="284">
        <v>0</v>
      </c>
      <c r="AJ23" s="284">
        <v>0</v>
      </c>
      <c r="AK23" s="284">
        <v>0</v>
      </c>
      <c r="AL23" s="284">
        <v>0</v>
      </c>
      <c r="AM23" s="284">
        <v>943</v>
      </c>
      <c r="AN23" s="284">
        <v>30532</v>
      </c>
      <c r="AO23" s="284">
        <v>0</v>
      </c>
      <c r="AP23" s="284">
        <v>2</v>
      </c>
      <c r="AQ23" s="284">
        <v>0</v>
      </c>
      <c r="AR23" s="284">
        <v>0</v>
      </c>
      <c r="AS23" s="284">
        <v>0</v>
      </c>
      <c r="AT23" s="284">
        <v>0</v>
      </c>
      <c r="AU23" s="284">
        <v>0</v>
      </c>
      <c r="AV23" s="284">
        <v>0</v>
      </c>
      <c r="AW23" s="284">
        <v>0</v>
      </c>
      <c r="AX23" s="284">
        <v>0</v>
      </c>
      <c r="AY23" s="284">
        <v>0</v>
      </c>
      <c r="AZ23" s="284">
        <v>0</v>
      </c>
      <c r="BA23" s="284">
        <v>0</v>
      </c>
      <c r="BB23" s="284">
        <v>0</v>
      </c>
      <c r="BC23" s="284">
        <v>0</v>
      </c>
      <c r="BD23" s="284">
        <v>0</v>
      </c>
      <c r="BE23" s="284">
        <v>0</v>
      </c>
      <c r="BF23" s="284">
        <v>0</v>
      </c>
      <c r="BG23" s="284">
        <v>0</v>
      </c>
      <c r="BH23" s="284">
        <v>422681</v>
      </c>
    </row>
    <row r="24" spans="1:60">
      <c r="A24" s="191" t="s">
        <v>101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</row>
    <row r="25" spans="1:60">
      <c r="A25" s="187" t="s">
        <v>103</v>
      </c>
      <c r="B25" s="284">
        <v>0</v>
      </c>
      <c r="C25" s="284">
        <v>0</v>
      </c>
      <c r="D25" s="284">
        <v>0</v>
      </c>
      <c r="E25" s="284">
        <v>0</v>
      </c>
      <c r="F25" s="284">
        <v>0</v>
      </c>
      <c r="G25" s="284">
        <v>0</v>
      </c>
      <c r="H25" s="284">
        <v>0</v>
      </c>
      <c r="I25" s="284">
        <v>0</v>
      </c>
      <c r="J25" s="284">
        <v>0</v>
      </c>
      <c r="K25" s="284">
        <v>0</v>
      </c>
      <c r="L25" s="284">
        <v>0</v>
      </c>
      <c r="M25" s="284">
        <v>0</v>
      </c>
      <c r="N25" s="284">
        <v>0</v>
      </c>
      <c r="O25" s="284">
        <v>0</v>
      </c>
      <c r="P25" s="284">
        <v>0</v>
      </c>
      <c r="Q25" s="284">
        <v>0</v>
      </c>
      <c r="R25" s="284">
        <v>0</v>
      </c>
      <c r="S25" s="284">
        <v>0</v>
      </c>
      <c r="T25" s="284">
        <v>0</v>
      </c>
      <c r="U25" s="284">
        <v>0</v>
      </c>
      <c r="V25" s="284">
        <v>0</v>
      </c>
      <c r="W25" s="284">
        <v>0</v>
      </c>
      <c r="X25" s="284">
        <v>0</v>
      </c>
      <c r="Y25" s="284">
        <v>0</v>
      </c>
      <c r="Z25" s="284">
        <v>0</v>
      </c>
      <c r="AA25" s="284">
        <v>0</v>
      </c>
      <c r="AB25" s="284">
        <v>0</v>
      </c>
      <c r="AC25" s="284">
        <v>0</v>
      </c>
      <c r="AD25" s="284">
        <v>0</v>
      </c>
      <c r="AE25" s="284">
        <v>0</v>
      </c>
      <c r="AF25" s="284">
        <v>0</v>
      </c>
      <c r="AG25" s="284">
        <v>0</v>
      </c>
      <c r="AH25" s="284">
        <v>0</v>
      </c>
      <c r="AI25" s="284">
        <v>0</v>
      </c>
      <c r="AJ25" s="284">
        <v>0</v>
      </c>
      <c r="AK25" s="284">
        <v>0</v>
      </c>
      <c r="AL25" s="284">
        <v>0</v>
      </c>
      <c r="AM25" s="284">
        <v>0</v>
      </c>
      <c r="AN25" s="284">
        <v>0</v>
      </c>
      <c r="AO25" s="284">
        <v>0</v>
      </c>
      <c r="AP25" s="284">
        <v>0</v>
      </c>
      <c r="AQ25" s="284">
        <v>0</v>
      </c>
      <c r="AR25" s="284">
        <v>46745.82</v>
      </c>
      <c r="AS25" s="284">
        <v>0</v>
      </c>
      <c r="AT25" s="284">
        <v>0</v>
      </c>
      <c r="AU25" s="284">
        <v>0</v>
      </c>
      <c r="AV25" s="284">
        <v>0</v>
      </c>
      <c r="AW25" s="284">
        <v>0</v>
      </c>
      <c r="AX25" s="284">
        <v>0</v>
      </c>
      <c r="AY25" s="284">
        <v>0</v>
      </c>
      <c r="AZ25" s="284">
        <v>0</v>
      </c>
      <c r="BA25" s="284">
        <v>0</v>
      </c>
      <c r="BB25" s="284">
        <v>0</v>
      </c>
      <c r="BC25" s="284">
        <v>0</v>
      </c>
      <c r="BD25" s="284">
        <v>0</v>
      </c>
      <c r="BE25" s="284">
        <v>0</v>
      </c>
      <c r="BF25" s="284">
        <v>0</v>
      </c>
      <c r="BG25" s="284">
        <v>0</v>
      </c>
      <c r="BH25" s="284">
        <v>46745.82</v>
      </c>
    </row>
    <row r="26" spans="1:60">
      <c r="A26" s="187" t="s">
        <v>104</v>
      </c>
      <c r="B26" s="284">
        <v>0</v>
      </c>
      <c r="C26" s="284">
        <v>0</v>
      </c>
      <c r="D26" s="284">
        <v>0</v>
      </c>
      <c r="E26" s="284">
        <v>0</v>
      </c>
      <c r="F26" s="284">
        <v>0</v>
      </c>
      <c r="G26" s="284">
        <v>0</v>
      </c>
      <c r="H26" s="284">
        <v>0</v>
      </c>
      <c r="I26" s="284">
        <v>0</v>
      </c>
      <c r="J26" s="284">
        <v>0</v>
      </c>
      <c r="K26" s="284">
        <v>0</v>
      </c>
      <c r="L26" s="284">
        <v>0</v>
      </c>
      <c r="M26" s="284">
        <v>0</v>
      </c>
      <c r="N26" s="284">
        <v>0</v>
      </c>
      <c r="O26" s="284">
        <v>0</v>
      </c>
      <c r="P26" s="284">
        <v>0</v>
      </c>
      <c r="Q26" s="284">
        <v>0</v>
      </c>
      <c r="R26" s="284">
        <v>0</v>
      </c>
      <c r="S26" s="284">
        <v>0</v>
      </c>
      <c r="T26" s="284">
        <v>0</v>
      </c>
      <c r="U26" s="284">
        <v>0</v>
      </c>
      <c r="V26" s="284">
        <v>0</v>
      </c>
      <c r="W26" s="284">
        <v>0</v>
      </c>
      <c r="X26" s="284">
        <v>0</v>
      </c>
      <c r="Y26" s="284">
        <v>0</v>
      </c>
      <c r="Z26" s="284">
        <v>0</v>
      </c>
      <c r="AA26" s="284">
        <v>0</v>
      </c>
      <c r="AB26" s="284">
        <v>0</v>
      </c>
      <c r="AC26" s="284">
        <v>0</v>
      </c>
      <c r="AD26" s="284">
        <v>0</v>
      </c>
      <c r="AE26" s="284">
        <v>0</v>
      </c>
      <c r="AF26" s="284">
        <v>0</v>
      </c>
      <c r="AG26" s="284">
        <v>0</v>
      </c>
      <c r="AH26" s="284">
        <v>0</v>
      </c>
      <c r="AI26" s="284">
        <v>0</v>
      </c>
      <c r="AJ26" s="284">
        <v>0</v>
      </c>
      <c r="AK26" s="284">
        <v>0</v>
      </c>
      <c r="AL26" s="284">
        <v>0</v>
      </c>
      <c r="AM26" s="284">
        <v>0</v>
      </c>
      <c r="AN26" s="284">
        <v>0</v>
      </c>
      <c r="AO26" s="284">
        <v>0</v>
      </c>
      <c r="AP26" s="284">
        <v>0</v>
      </c>
      <c r="AQ26" s="284">
        <v>0</v>
      </c>
      <c r="AR26" s="284">
        <v>23775.18</v>
      </c>
      <c r="AS26" s="284">
        <v>0</v>
      </c>
      <c r="AT26" s="284">
        <v>0</v>
      </c>
      <c r="AU26" s="284">
        <v>0</v>
      </c>
      <c r="AV26" s="284">
        <v>0</v>
      </c>
      <c r="AW26" s="284">
        <v>0</v>
      </c>
      <c r="AX26" s="284">
        <v>0</v>
      </c>
      <c r="AY26" s="284">
        <v>0</v>
      </c>
      <c r="AZ26" s="284">
        <v>0</v>
      </c>
      <c r="BA26" s="284">
        <v>0</v>
      </c>
      <c r="BB26" s="284">
        <v>0</v>
      </c>
      <c r="BC26" s="284">
        <v>0</v>
      </c>
      <c r="BD26" s="284">
        <v>0</v>
      </c>
      <c r="BE26" s="284">
        <v>0</v>
      </c>
      <c r="BF26" s="284">
        <v>0</v>
      </c>
      <c r="BG26" s="284">
        <v>0</v>
      </c>
      <c r="BH26" s="284">
        <v>23775.18</v>
      </c>
    </row>
    <row r="27" spans="1:60">
      <c r="A27" s="192" t="s">
        <v>105</v>
      </c>
      <c r="B27" s="193">
        <v>0</v>
      </c>
      <c r="C27" s="193">
        <v>0</v>
      </c>
      <c r="D27" s="193">
        <v>0</v>
      </c>
      <c r="E27" s="193">
        <v>0</v>
      </c>
      <c r="F27" s="193">
        <v>0</v>
      </c>
      <c r="G27" s="193">
        <v>0</v>
      </c>
      <c r="H27" s="193">
        <v>0</v>
      </c>
      <c r="I27" s="193">
        <v>0</v>
      </c>
      <c r="J27" s="193">
        <v>0</v>
      </c>
      <c r="K27" s="193">
        <v>0</v>
      </c>
      <c r="L27" s="193">
        <v>0</v>
      </c>
      <c r="M27" s="193">
        <v>0</v>
      </c>
      <c r="N27" s="193">
        <v>0</v>
      </c>
      <c r="O27" s="193">
        <v>0</v>
      </c>
      <c r="P27" s="193">
        <v>0</v>
      </c>
      <c r="Q27" s="193">
        <v>0</v>
      </c>
      <c r="R27" s="193">
        <v>0</v>
      </c>
      <c r="S27" s="193">
        <v>0</v>
      </c>
      <c r="T27" s="193">
        <v>0</v>
      </c>
      <c r="U27" s="193">
        <v>0</v>
      </c>
      <c r="V27" s="193">
        <v>0</v>
      </c>
      <c r="W27" s="193">
        <v>0</v>
      </c>
      <c r="X27" s="193">
        <v>0</v>
      </c>
      <c r="Y27" s="193">
        <v>0</v>
      </c>
      <c r="Z27" s="193">
        <v>0</v>
      </c>
      <c r="AA27" s="193">
        <v>0</v>
      </c>
      <c r="AB27" s="193">
        <v>0</v>
      </c>
      <c r="AC27" s="193">
        <v>0</v>
      </c>
      <c r="AD27" s="193">
        <v>0</v>
      </c>
      <c r="AE27" s="193">
        <v>0</v>
      </c>
      <c r="AF27" s="193">
        <v>0</v>
      </c>
      <c r="AG27" s="193">
        <v>0</v>
      </c>
      <c r="AH27" s="193">
        <v>0</v>
      </c>
      <c r="AI27" s="193">
        <v>0</v>
      </c>
      <c r="AJ27" s="193">
        <v>0</v>
      </c>
      <c r="AK27" s="193">
        <v>0</v>
      </c>
      <c r="AL27" s="193">
        <v>0</v>
      </c>
      <c r="AM27" s="193">
        <v>0</v>
      </c>
      <c r="AN27" s="193">
        <v>0</v>
      </c>
      <c r="AO27" s="193">
        <v>0</v>
      </c>
      <c r="AP27" s="193">
        <v>0</v>
      </c>
      <c r="AQ27" s="193">
        <v>0</v>
      </c>
      <c r="AR27" s="193">
        <v>70521</v>
      </c>
      <c r="AS27" s="193">
        <v>0</v>
      </c>
      <c r="AT27" s="193">
        <v>0</v>
      </c>
      <c r="AU27" s="193">
        <v>0</v>
      </c>
      <c r="AV27" s="193">
        <v>0</v>
      </c>
      <c r="AW27" s="193">
        <v>0</v>
      </c>
      <c r="AX27" s="193">
        <v>0</v>
      </c>
      <c r="AY27" s="193">
        <v>0</v>
      </c>
      <c r="AZ27" s="193">
        <v>0</v>
      </c>
      <c r="BA27" s="193">
        <v>0</v>
      </c>
      <c r="BB27" s="193">
        <v>0</v>
      </c>
      <c r="BC27" s="193">
        <v>0</v>
      </c>
      <c r="BD27" s="193">
        <v>0</v>
      </c>
      <c r="BE27" s="193">
        <v>0</v>
      </c>
      <c r="BF27" s="193">
        <v>0</v>
      </c>
      <c r="BG27" s="193">
        <v>0</v>
      </c>
      <c r="BH27" s="193">
        <v>70521</v>
      </c>
    </row>
    <row r="28" spans="1:60">
      <c r="A28" s="191" t="s">
        <v>106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</row>
    <row r="29" spans="1:60">
      <c r="A29" s="187" t="s">
        <v>107</v>
      </c>
      <c r="B29" s="284">
        <v>0</v>
      </c>
      <c r="C29" s="284">
        <v>0</v>
      </c>
      <c r="D29" s="284">
        <v>0</v>
      </c>
      <c r="E29" s="284">
        <v>0</v>
      </c>
      <c r="F29" s="284">
        <v>0</v>
      </c>
      <c r="G29" s="284">
        <v>0</v>
      </c>
      <c r="H29" s="284">
        <v>0</v>
      </c>
      <c r="I29" s="284">
        <v>0</v>
      </c>
      <c r="J29" s="284">
        <v>0</v>
      </c>
      <c r="K29" s="284">
        <v>0</v>
      </c>
      <c r="L29" s="284">
        <v>0</v>
      </c>
      <c r="M29" s="284">
        <v>0</v>
      </c>
      <c r="N29" s="284">
        <v>0</v>
      </c>
      <c r="O29" s="284">
        <v>0</v>
      </c>
      <c r="P29" s="284">
        <v>0</v>
      </c>
      <c r="Q29" s="284">
        <v>0</v>
      </c>
      <c r="R29" s="284">
        <v>0</v>
      </c>
      <c r="S29" s="284">
        <v>0</v>
      </c>
      <c r="T29" s="284">
        <v>0</v>
      </c>
      <c r="U29" s="284">
        <v>0</v>
      </c>
      <c r="V29" s="284">
        <v>0</v>
      </c>
      <c r="W29" s="284">
        <v>0</v>
      </c>
      <c r="X29" s="284">
        <v>0</v>
      </c>
      <c r="Y29" s="284">
        <v>0</v>
      </c>
      <c r="Z29" s="284">
        <v>0</v>
      </c>
      <c r="AA29" s="284">
        <v>0</v>
      </c>
      <c r="AB29" s="284">
        <v>0</v>
      </c>
      <c r="AC29" s="284">
        <v>0</v>
      </c>
      <c r="AD29" s="284">
        <v>0</v>
      </c>
      <c r="AE29" s="284">
        <v>0</v>
      </c>
      <c r="AF29" s="284">
        <v>0</v>
      </c>
      <c r="AG29" s="284">
        <v>0</v>
      </c>
      <c r="AH29" s="284">
        <v>0</v>
      </c>
      <c r="AI29" s="284">
        <v>0</v>
      </c>
      <c r="AJ29" s="284">
        <v>0</v>
      </c>
      <c r="AK29" s="284">
        <v>0</v>
      </c>
      <c r="AL29" s="284">
        <v>0</v>
      </c>
      <c r="AM29" s="284">
        <v>0</v>
      </c>
      <c r="AN29" s="284">
        <v>0</v>
      </c>
      <c r="AO29" s="284">
        <v>0</v>
      </c>
      <c r="AP29" s="284">
        <v>0</v>
      </c>
      <c r="AQ29" s="284">
        <v>0</v>
      </c>
      <c r="AR29" s="284">
        <v>-1230.07</v>
      </c>
      <c r="AS29" s="284">
        <v>0</v>
      </c>
      <c r="AT29" s="284">
        <v>0</v>
      </c>
      <c r="AU29" s="284">
        <v>0</v>
      </c>
      <c r="AV29" s="284">
        <v>0</v>
      </c>
      <c r="AW29" s="284">
        <v>0</v>
      </c>
      <c r="AX29" s="284">
        <v>0</v>
      </c>
      <c r="AY29" s="284">
        <v>0</v>
      </c>
      <c r="AZ29" s="284">
        <v>0</v>
      </c>
      <c r="BA29" s="284">
        <v>0</v>
      </c>
      <c r="BB29" s="284">
        <v>0</v>
      </c>
      <c r="BC29" s="284">
        <v>0</v>
      </c>
      <c r="BD29" s="284">
        <v>0</v>
      </c>
      <c r="BE29" s="284">
        <v>0</v>
      </c>
      <c r="BF29" s="284">
        <v>0</v>
      </c>
      <c r="BG29" s="284">
        <v>0</v>
      </c>
      <c r="BH29" s="284">
        <v>-1230.07</v>
      </c>
    </row>
    <row r="30" spans="1:60">
      <c r="A30" s="187" t="s">
        <v>108</v>
      </c>
      <c r="B30" s="284">
        <v>0</v>
      </c>
      <c r="C30" s="284">
        <v>0</v>
      </c>
      <c r="D30" s="284">
        <v>0</v>
      </c>
      <c r="E30" s="284">
        <v>0</v>
      </c>
      <c r="F30" s="284">
        <v>0</v>
      </c>
      <c r="G30" s="284">
        <v>0</v>
      </c>
      <c r="H30" s="284">
        <v>0</v>
      </c>
      <c r="I30" s="284">
        <v>0</v>
      </c>
      <c r="J30" s="284">
        <v>0</v>
      </c>
      <c r="K30" s="284">
        <v>0</v>
      </c>
      <c r="L30" s="284">
        <v>0</v>
      </c>
      <c r="M30" s="284">
        <v>0</v>
      </c>
      <c r="N30" s="284">
        <v>0</v>
      </c>
      <c r="O30" s="284">
        <v>0</v>
      </c>
      <c r="P30" s="284">
        <v>0</v>
      </c>
      <c r="Q30" s="284">
        <v>0</v>
      </c>
      <c r="R30" s="284">
        <v>0</v>
      </c>
      <c r="S30" s="284">
        <v>0</v>
      </c>
      <c r="T30" s="284">
        <v>0</v>
      </c>
      <c r="U30" s="284">
        <v>0</v>
      </c>
      <c r="V30" s="284">
        <v>0</v>
      </c>
      <c r="W30" s="284">
        <v>0</v>
      </c>
      <c r="X30" s="284">
        <v>0</v>
      </c>
      <c r="Y30" s="284">
        <v>0</v>
      </c>
      <c r="Z30" s="284">
        <v>0</v>
      </c>
      <c r="AA30" s="284">
        <v>0</v>
      </c>
      <c r="AB30" s="284">
        <v>0</v>
      </c>
      <c r="AC30" s="284">
        <v>0</v>
      </c>
      <c r="AD30" s="284">
        <v>0</v>
      </c>
      <c r="AE30" s="284">
        <v>0</v>
      </c>
      <c r="AF30" s="284">
        <v>0</v>
      </c>
      <c r="AG30" s="284">
        <v>0</v>
      </c>
      <c r="AH30" s="284">
        <v>0</v>
      </c>
      <c r="AI30" s="284">
        <v>0</v>
      </c>
      <c r="AJ30" s="284">
        <v>0</v>
      </c>
      <c r="AK30" s="284">
        <v>0</v>
      </c>
      <c r="AL30" s="284">
        <v>0</v>
      </c>
      <c r="AM30" s="284">
        <v>0</v>
      </c>
      <c r="AN30" s="284">
        <v>0</v>
      </c>
      <c r="AO30" s="284">
        <v>0</v>
      </c>
      <c r="AP30" s="284">
        <v>0</v>
      </c>
      <c r="AQ30" s="284">
        <v>0</v>
      </c>
      <c r="AR30" s="284">
        <v>81035.63</v>
      </c>
      <c r="AS30" s="284">
        <v>0</v>
      </c>
      <c r="AT30" s="284">
        <v>0</v>
      </c>
      <c r="AU30" s="284">
        <v>0</v>
      </c>
      <c r="AV30" s="284">
        <v>0</v>
      </c>
      <c r="AW30" s="284">
        <v>0</v>
      </c>
      <c r="AX30" s="284">
        <v>0</v>
      </c>
      <c r="AY30" s="284">
        <v>0</v>
      </c>
      <c r="AZ30" s="284">
        <v>0</v>
      </c>
      <c r="BA30" s="284">
        <v>0</v>
      </c>
      <c r="BB30" s="284">
        <v>0</v>
      </c>
      <c r="BC30" s="284">
        <v>0</v>
      </c>
      <c r="BD30" s="284">
        <v>0</v>
      </c>
      <c r="BE30" s="284">
        <v>0</v>
      </c>
      <c r="BF30" s="284">
        <v>0</v>
      </c>
      <c r="BG30" s="284">
        <v>0</v>
      </c>
      <c r="BH30" s="284">
        <v>81035.63</v>
      </c>
    </row>
    <row r="31" spans="1:60">
      <c r="A31" s="192" t="s">
        <v>109</v>
      </c>
      <c r="B31" s="193">
        <v>0</v>
      </c>
      <c r="C31" s="193">
        <v>0</v>
      </c>
      <c r="D31" s="193">
        <v>0</v>
      </c>
      <c r="E31" s="193">
        <v>0</v>
      </c>
      <c r="F31" s="193">
        <v>0</v>
      </c>
      <c r="G31" s="193">
        <v>0</v>
      </c>
      <c r="H31" s="193">
        <v>0</v>
      </c>
      <c r="I31" s="193">
        <v>0</v>
      </c>
      <c r="J31" s="193">
        <v>0</v>
      </c>
      <c r="K31" s="193">
        <v>0</v>
      </c>
      <c r="L31" s="193">
        <v>0</v>
      </c>
      <c r="M31" s="193">
        <v>0</v>
      </c>
      <c r="N31" s="193">
        <v>0</v>
      </c>
      <c r="O31" s="193">
        <v>0</v>
      </c>
      <c r="P31" s="193">
        <v>0</v>
      </c>
      <c r="Q31" s="193">
        <v>0</v>
      </c>
      <c r="R31" s="193">
        <v>0</v>
      </c>
      <c r="S31" s="193">
        <v>0</v>
      </c>
      <c r="T31" s="193">
        <v>0</v>
      </c>
      <c r="U31" s="193">
        <v>0</v>
      </c>
      <c r="V31" s="193">
        <v>0</v>
      </c>
      <c r="W31" s="193">
        <v>0</v>
      </c>
      <c r="X31" s="193">
        <v>0</v>
      </c>
      <c r="Y31" s="193">
        <v>0</v>
      </c>
      <c r="Z31" s="193">
        <v>0</v>
      </c>
      <c r="AA31" s="193">
        <v>0</v>
      </c>
      <c r="AB31" s="193">
        <v>0</v>
      </c>
      <c r="AC31" s="193">
        <v>0</v>
      </c>
      <c r="AD31" s="193">
        <v>0</v>
      </c>
      <c r="AE31" s="193">
        <v>0</v>
      </c>
      <c r="AF31" s="193">
        <v>0</v>
      </c>
      <c r="AG31" s="193">
        <v>0</v>
      </c>
      <c r="AH31" s="193">
        <v>0</v>
      </c>
      <c r="AI31" s="193">
        <v>0</v>
      </c>
      <c r="AJ31" s="193">
        <v>0</v>
      </c>
      <c r="AK31" s="193">
        <v>0</v>
      </c>
      <c r="AL31" s="193">
        <v>0</v>
      </c>
      <c r="AM31" s="193">
        <v>0</v>
      </c>
      <c r="AN31" s="193">
        <v>0</v>
      </c>
      <c r="AO31" s="193">
        <v>0</v>
      </c>
      <c r="AP31" s="193">
        <v>0</v>
      </c>
      <c r="AQ31" s="193">
        <v>0</v>
      </c>
      <c r="AR31" s="193">
        <v>79805.56</v>
      </c>
      <c r="AS31" s="193">
        <v>0</v>
      </c>
      <c r="AT31" s="193">
        <v>0</v>
      </c>
      <c r="AU31" s="193">
        <v>0</v>
      </c>
      <c r="AV31" s="193">
        <v>0</v>
      </c>
      <c r="AW31" s="193">
        <v>0</v>
      </c>
      <c r="AX31" s="193">
        <v>0</v>
      </c>
      <c r="AY31" s="193">
        <v>0</v>
      </c>
      <c r="AZ31" s="193">
        <v>0</v>
      </c>
      <c r="BA31" s="193">
        <v>0</v>
      </c>
      <c r="BB31" s="193">
        <v>0</v>
      </c>
      <c r="BC31" s="193">
        <v>0</v>
      </c>
      <c r="BD31" s="193">
        <v>0</v>
      </c>
      <c r="BE31" s="193">
        <v>0</v>
      </c>
      <c r="BF31" s="193">
        <v>0</v>
      </c>
      <c r="BG31" s="193">
        <v>0</v>
      </c>
      <c r="BH31" s="193">
        <v>79805.56</v>
      </c>
    </row>
    <row r="32" spans="1:60">
      <c r="A32" s="192" t="s">
        <v>110</v>
      </c>
      <c r="B32" s="193">
        <v>0</v>
      </c>
      <c r="C32" s="193">
        <v>582809.48</v>
      </c>
      <c r="D32" s="193">
        <v>221632.25</v>
      </c>
      <c r="E32" s="193">
        <v>40138.22</v>
      </c>
      <c r="F32" s="193">
        <v>90290.63</v>
      </c>
      <c r="G32" s="193">
        <v>42831.16</v>
      </c>
      <c r="H32" s="193">
        <v>101808.54</v>
      </c>
      <c r="I32" s="193">
        <v>161364.82999999999</v>
      </c>
      <c r="J32" s="193">
        <v>329371.25</v>
      </c>
      <c r="K32" s="193">
        <v>146340.57</v>
      </c>
      <c r="L32" s="193">
        <v>24401.41</v>
      </c>
      <c r="M32" s="193">
        <v>92403.36</v>
      </c>
      <c r="N32" s="193">
        <v>173069.51</v>
      </c>
      <c r="O32" s="193">
        <v>39680.39</v>
      </c>
      <c r="P32" s="193">
        <v>11134</v>
      </c>
      <c r="Q32" s="193">
        <v>43567.72</v>
      </c>
      <c r="R32" s="193">
        <v>34035.519999999997</v>
      </c>
      <c r="S32" s="193">
        <v>39001</v>
      </c>
      <c r="T32" s="193">
        <v>100536.28</v>
      </c>
      <c r="U32" s="193">
        <v>33792</v>
      </c>
      <c r="V32" s="193">
        <v>65256</v>
      </c>
      <c r="W32" s="193">
        <v>53700</v>
      </c>
      <c r="X32" s="193">
        <v>194150.87</v>
      </c>
      <c r="Y32" s="193">
        <v>4334</v>
      </c>
      <c r="Z32" s="193">
        <v>1667</v>
      </c>
      <c r="AA32" s="193">
        <v>1334</v>
      </c>
      <c r="AB32" s="193">
        <v>556</v>
      </c>
      <c r="AC32" s="193">
        <v>1515414.7</v>
      </c>
      <c r="AD32" s="193">
        <v>1029883.63</v>
      </c>
      <c r="AE32" s="193">
        <v>73688.639999999999</v>
      </c>
      <c r="AF32" s="193">
        <v>0</v>
      </c>
      <c r="AG32" s="193">
        <v>13859.64</v>
      </c>
      <c r="AH32" s="193">
        <v>0</v>
      </c>
      <c r="AI32" s="193">
        <v>0</v>
      </c>
      <c r="AJ32" s="193">
        <v>0</v>
      </c>
      <c r="AK32" s="193">
        <v>3760</v>
      </c>
      <c r="AL32" s="193">
        <v>46514.8</v>
      </c>
      <c r="AM32" s="193">
        <v>4310.2</v>
      </c>
      <c r="AN32" s="193">
        <v>89048</v>
      </c>
      <c r="AO32" s="193">
        <v>80122</v>
      </c>
      <c r="AP32" s="193">
        <v>174623.9</v>
      </c>
      <c r="AQ32" s="193">
        <v>28584.45</v>
      </c>
      <c r="AR32" s="193">
        <v>160361.51999999999</v>
      </c>
      <c r="AS32" s="193">
        <v>0</v>
      </c>
      <c r="AT32" s="193">
        <v>877778.43</v>
      </c>
      <c r="AU32" s="193">
        <v>348222.87</v>
      </c>
      <c r="AV32" s="193">
        <v>1177849.3</v>
      </c>
      <c r="AW32" s="193">
        <v>11633.32</v>
      </c>
      <c r="AX32" s="193">
        <v>354011.42</v>
      </c>
      <c r="AY32" s="193">
        <v>364656</v>
      </c>
      <c r="AZ32" s="193">
        <v>98163</v>
      </c>
      <c r="BA32" s="193">
        <v>350311</v>
      </c>
      <c r="BB32" s="193">
        <v>843986.28</v>
      </c>
      <c r="BC32" s="193">
        <v>1660396.43</v>
      </c>
      <c r="BD32" s="193">
        <v>3844907.96</v>
      </c>
      <c r="BE32" s="193">
        <v>338975.98</v>
      </c>
      <c r="BF32" s="193">
        <v>217350.72</v>
      </c>
      <c r="BG32" s="193">
        <v>212290.73</v>
      </c>
      <c r="BH32" s="193">
        <v>16675284.609999999</v>
      </c>
    </row>
    <row r="33" spans="1:60">
      <c r="A33" s="194" t="s">
        <v>111</v>
      </c>
      <c r="B33" s="195">
        <v>0</v>
      </c>
      <c r="C33" s="195">
        <v>582809.48</v>
      </c>
      <c r="D33" s="195">
        <v>221632.25</v>
      </c>
      <c r="E33" s="195">
        <v>40138.22</v>
      </c>
      <c r="F33" s="195">
        <v>90290.63</v>
      </c>
      <c r="G33" s="195">
        <v>42831.16</v>
      </c>
      <c r="H33" s="195">
        <v>101808.54</v>
      </c>
      <c r="I33" s="195">
        <v>161364.82999999999</v>
      </c>
      <c r="J33" s="195">
        <v>329371.25</v>
      </c>
      <c r="K33" s="195">
        <v>146340.57</v>
      </c>
      <c r="L33" s="195">
        <v>24401.41</v>
      </c>
      <c r="M33" s="195">
        <v>92403.36</v>
      </c>
      <c r="N33" s="195">
        <v>173069.51</v>
      </c>
      <c r="O33" s="195">
        <v>39680.39</v>
      </c>
      <c r="P33" s="195">
        <v>11134</v>
      </c>
      <c r="Q33" s="195">
        <v>43567.72</v>
      </c>
      <c r="R33" s="195">
        <v>34035.519999999997</v>
      </c>
      <c r="S33" s="195">
        <v>39001</v>
      </c>
      <c r="T33" s="195">
        <v>100536.28</v>
      </c>
      <c r="U33" s="195">
        <v>33792</v>
      </c>
      <c r="V33" s="195">
        <v>65256</v>
      </c>
      <c r="W33" s="195">
        <v>53700</v>
      </c>
      <c r="X33" s="195">
        <v>194150.87</v>
      </c>
      <c r="Y33" s="195">
        <v>4334</v>
      </c>
      <c r="Z33" s="195">
        <v>1667</v>
      </c>
      <c r="AA33" s="195">
        <v>1334</v>
      </c>
      <c r="AB33" s="195">
        <v>556</v>
      </c>
      <c r="AC33" s="195">
        <v>1515414.7</v>
      </c>
      <c r="AD33" s="195">
        <v>1029883.63</v>
      </c>
      <c r="AE33" s="195">
        <v>73688.639999999999</v>
      </c>
      <c r="AF33" s="195">
        <v>0</v>
      </c>
      <c r="AG33" s="195">
        <v>13859.64</v>
      </c>
      <c r="AH33" s="195">
        <v>0</v>
      </c>
      <c r="AI33" s="195">
        <v>0</v>
      </c>
      <c r="AJ33" s="195">
        <v>0</v>
      </c>
      <c r="AK33" s="195">
        <v>3760</v>
      </c>
      <c r="AL33" s="195">
        <v>46514.8</v>
      </c>
      <c r="AM33" s="195">
        <v>4310.2</v>
      </c>
      <c r="AN33" s="195">
        <v>89048</v>
      </c>
      <c r="AO33" s="195">
        <v>80122</v>
      </c>
      <c r="AP33" s="195">
        <v>174623.9</v>
      </c>
      <c r="AQ33" s="195">
        <v>28584.45</v>
      </c>
      <c r="AR33" s="195">
        <v>160361.51999999999</v>
      </c>
      <c r="AS33" s="195">
        <v>0</v>
      </c>
      <c r="AT33" s="195">
        <v>877778.43</v>
      </c>
      <c r="AU33" s="195">
        <v>348222.87</v>
      </c>
      <c r="AV33" s="195">
        <v>1177849.3</v>
      </c>
      <c r="AW33" s="195">
        <v>11633.32</v>
      </c>
      <c r="AX33" s="195">
        <v>354011.42</v>
      </c>
      <c r="AY33" s="195">
        <v>364656</v>
      </c>
      <c r="AZ33" s="195">
        <v>98163</v>
      </c>
      <c r="BA33" s="195">
        <v>350311</v>
      </c>
      <c r="BB33" s="195">
        <v>843986.28</v>
      </c>
      <c r="BC33" s="195">
        <v>1660396.43</v>
      </c>
      <c r="BD33" s="195">
        <v>3844907.96</v>
      </c>
      <c r="BE33" s="195">
        <v>338975.98</v>
      </c>
      <c r="BF33" s="195">
        <v>217350.72</v>
      </c>
      <c r="BG33" s="195">
        <v>212290.73</v>
      </c>
      <c r="BH33" s="195">
        <v>16675284.609999999</v>
      </c>
    </row>
    <row r="34" spans="1:60">
      <c r="A34" s="191" t="s">
        <v>112</v>
      </c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</row>
    <row r="35" spans="1:60">
      <c r="A35" s="191" t="s">
        <v>113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</row>
    <row r="36" spans="1:60">
      <c r="A36" s="187" t="s">
        <v>114</v>
      </c>
      <c r="B36" s="284">
        <v>0</v>
      </c>
      <c r="C36" s="284">
        <v>220799.23</v>
      </c>
      <c r="D36" s="284">
        <v>162884.69</v>
      </c>
      <c r="E36" s="284">
        <v>11090.89</v>
      </c>
      <c r="F36" s="284">
        <v>29995.03</v>
      </c>
      <c r="G36" s="284">
        <v>17254.77</v>
      </c>
      <c r="H36" s="284">
        <v>48373.3</v>
      </c>
      <c r="I36" s="284">
        <v>82668.86</v>
      </c>
      <c r="J36" s="284">
        <v>231264.09</v>
      </c>
      <c r="K36" s="284">
        <v>96151.34</v>
      </c>
      <c r="L36" s="284">
        <v>14139.28</v>
      </c>
      <c r="M36" s="284">
        <v>47289.52</v>
      </c>
      <c r="N36" s="284">
        <v>86906.67</v>
      </c>
      <c r="O36" s="284">
        <v>22332.43</v>
      </c>
      <c r="P36" s="284">
        <v>6431.52</v>
      </c>
      <c r="Q36" s="284">
        <v>29373.01</v>
      </c>
      <c r="R36" s="284">
        <v>25593.52</v>
      </c>
      <c r="S36" s="284">
        <v>29341</v>
      </c>
      <c r="T36" s="284">
        <v>66402.8</v>
      </c>
      <c r="U36" s="284">
        <v>23656.48</v>
      </c>
      <c r="V36" s="284">
        <v>44917.04</v>
      </c>
      <c r="W36" s="284">
        <v>33964.68</v>
      </c>
      <c r="X36" s="284">
        <v>117617.85</v>
      </c>
      <c r="Y36" s="284">
        <v>0</v>
      </c>
      <c r="Z36" s="284">
        <v>0</v>
      </c>
      <c r="AA36" s="284">
        <v>3359.61</v>
      </c>
      <c r="AB36" s="284">
        <v>1227.74</v>
      </c>
      <c r="AC36" s="284">
        <v>112295.67999999999</v>
      </c>
      <c r="AD36" s="284">
        <v>28135.99</v>
      </c>
      <c r="AE36" s="284">
        <v>11769.7</v>
      </c>
      <c r="AF36" s="284">
        <v>6551.05</v>
      </c>
      <c r="AG36" s="284">
        <v>5907.58</v>
      </c>
      <c r="AH36" s="284">
        <v>4521.93</v>
      </c>
      <c r="AI36" s="284">
        <v>22140.02</v>
      </c>
      <c r="AJ36" s="284">
        <v>11905.62</v>
      </c>
      <c r="AK36" s="284">
        <v>0</v>
      </c>
      <c r="AL36" s="284">
        <v>4799.6499999999996</v>
      </c>
      <c r="AM36" s="284">
        <v>2058.54</v>
      </c>
      <c r="AN36" s="284">
        <v>20100.990000000002</v>
      </c>
      <c r="AO36" s="284">
        <v>19212.41</v>
      </c>
      <c r="AP36" s="284">
        <v>63219.99</v>
      </c>
      <c r="AQ36" s="284">
        <v>24871.03</v>
      </c>
      <c r="AR36" s="284">
        <v>-316.29000000000002</v>
      </c>
      <c r="AS36" s="284">
        <v>0</v>
      </c>
      <c r="AT36" s="284">
        <v>0</v>
      </c>
      <c r="AU36" s="284">
        <v>0</v>
      </c>
      <c r="AV36" s="284">
        <v>0</v>
      </c>
      <c r="AW36" s="284">
        <v>0</v>
      </c>
      <c r="AX36" s="284">
        <v>0</v>
      </c>
      <c r="AY36" s="284">
        <v>0</v>
      </c>
      <c r="AZ36" s="284">
        <v>0</v>
      </c>
      <c r="BA36" s="284">
        <v>0</v>
      </c>
      <c r="BB36" s="284">
        <v>0</v>
      </c>
      <c r="BC36" s="284">
        <v>0</v>
      </c>
      <c r="BD36" s="284">
        <v>0</v>
      </c>
      <c r="BE36" s="284">
        <v>0</v>
      </c>
      <c r="BF36" s="284">
        <v>0</v>
      </c>
      <c r="BG36" s="284">
        <v>0</v>
      </c>
      <c r="BH36" s="284">
        <v>1811538.18</v>
      </c>
    </row>
    <row r="37" spans="1:60">
      <c r="A37" s="187" t="s">
        <v>115</v>
      </c>
      <c r="B37" s="284">
        <v>0</v>
      </c>
      <c r="C37" s="284">
        <v>0</v>
      </c>
      <c r="D37" s="284">
        <v>1644</v>
      </c>
      <c r="E37" s="284">
        <v>0</v>
      </c>
      <c r="F37" s="284">
        <v>0</v>
      </c>
      <c r="G37" s="284">
        <v>0</v>
      </c>
      <c r="H37" s="284">
        <v>0</v>
      </c>
      <c r="I37" s="284">
        <v>54.04</v>
      </c>
      <c r="J37" s="284">
        <v>5155.6499999999996</v>
      </c>
      <c r="K37" s="284">
        <v>1634.69</v>
      </c>
      <c r="L37" s="284">
        <v>0</v>
      </c>
      <c r="M37" s="284">
        <v>0</v>
      </c>
      <c r="N37" s="284">
        <v>0</v>
      </c>
      <c r="O37" s="284">
        <v>0</v>
      </c>
      <c r="P37" s="284">
        <v>0</v>
      </c>
      <c r="Q37" s="284">
        <v>0</v>
      </c>
      <c r="R37" s="284">
        <v>0</v>
      </c>
      <c r="S37" s="284">
        <v>0</v>
      </c>
      <c r="T37" s="284">
        <v>1061.24</v>
      </c>
      <c r="U37" s="284">
        <v>0</v>
      </c>
      <c r="V37" s="284">
        <v>0</v>
      </c>
      <c r="W37" s="284">
        <v>0</v>
      </c>
      <c r="X37" s="284">
        <v>1220.8399999999999</v>
      </c>
      <c r="Y37" s="284">
        <v>0</v>
      </c>
      <c r="Z37" s="284">
        <v>0</v>
      </c>
      <c r="AA37" s="284">
        <v>0</v>
      </c>
      <c r="AB37" s="284">
        <v>0</v>
      </c>
      <c r="AC37" s="284">
        <v>15.75</v>
      </c>
      <c r="AD37" s="284">
        <v>5.0199999999999996</v>
      </c>
      <c r="AE37" s="284">
        <v>0</v>
      </c>
      <c r="AF37" s="284">
        <v>0</v>
      </c>
      <c r="AG37" s="284">
        <v>0</v>
      </c>
      <c r="AH37" s="284">
        <v>0</v>
      </c>
      <c r="AI37" s="284">
        <v>0</v>
      </c>
      <c r="AJ37" s="284">
        <v>0</v>
      </c>
      <c r="AK37" s="284">
        <v>0</v>
      </c>
      <c r="AL37" s="284">
        <v>0</v>
      </c>
      <c r="AM37" s="284">
        <v>0</v>
      </c>
      <c r="AN37" s="284">
        <v>0</v>
      </c>
      <c r="AO37" s="284">
        <v>0</v>
      </c>
      <c r="AP37" s="284">
        <v>1219.98</v>
      </c>
      <c r="AQ37" s="284">
        <v>0</v>
      </c>
      <c r="AR37" s="284">
        <v>0</v>
      </c>
      <c r="AS37" s="284">
        <v>0</v>
      </c>
      <c r="AT37" s="284">
        <v>0</v>
      </c>
      <c r="AU37" s="284">
        <v>0</v>
      </c>
      <c r="AV37" s="284">
        <v>0</v>
      </c>
      <c r="AW37" s="284">
        <v>0</v>
      </c>
      <c r="AX37" s="284">
        <v>0</v>
      </c>
      <c r="AY37" s="284">
        <v>0</v>
      </c>
      <c r="AZ37" s="284">
        <v>0</v>
      </c>
      <c r="BA37" s="284">
        <v>0</v>
      </c>
      <c r="BB37" s="284">
        <v>0</v>
      </c>
      <c r="BC37" s="284">
        <v>0</v>
      </c>
      <c r="BD37" s="284">
        <v>0</v>
      </c>
      <c r="BE37" s="284">
        <v>0</v>
      </c>
      <c r="BF37" s="284">
        <v>0</v>
      </c>
      <c r="BG37" s="284">
        <v>0</v>
      </c>
      <c r="BH37" s="284">
        <v>12009.86</v>
      </c>
    </row>
    <row r="38" spans="1:60">
      <c r="A38" s="187" t="s">
        <v>116</v>
      </c>
      <c r="B38" s="284">
        <v>0</v>
      </c>
      <c r="C38" s="284">
        <v>0</v>
      </c>
      <c r="D38" s="284">
        <v>0</v>
      </c>
      <c r="E38" s="284">
        <v>0</v>
      </c>
      <c r="F38" s="284">
        <v>0</v>
      </c>
      <c r="G38" s="284">
        <v>0</v>
      </c>
      <c r="H38" s="284">
        <v>0</v>
      </c>
      <c r="I38" s="284">
        <v>0</v>
      </c>
      <c r="J38" s="284">
        <v>0</v>
      </c>
      <c r="K38" s="284">
        <v>0</v>
      </c>
      <c r="L38" s="284">
        <v>0</v>
      </c>
      <c r="M38" s="284">
        <v>0</v>
      </c>
      <c r="N38" s="284">
        <v>0</v>
      </c>
      <c r="O38" s="284">
        <v>0</v>
      </c>
      <c r="P38" s="284">
        <v>0</v>
      </c>
      <c r="Q38" s="284">
        <v>0</v>
      </c>
      <c r="R38" s="284">
        <v>0</v>
      </c>
      <c r="S38" s="284">
        <v>0</v>
      </c>
      <c r="T38" s="284">
        <v>0</v>
      </c>
      <c r="U38" s="284">
        <v>0</v>
      </c>
      <c r="V38" s="284">
        <v>0</v>
      </c>
      <c r="W38" s="284">
        <v>0</v>
      </c>
      <c r="X38" s="284">
        <v>0</v>
      </c>
      <c r="Y38" s="284">
        <v>0</v>
      </c>
      <c r="Z38" s="284">
        <v>0</v>
      </c>
      <c r="AA38" s="284">
        <v>0</v>
      </c>
      <c r="AB38" s="284">
        <v>0</v>
      </c>
      <c r="AC38" s="284">
        <v>0</v>
      </c>
      <c r="AD38" s="284">
        <v>0</v>
      </c>
      <c r="AE38" s="284">
        <v>0</v>
      </c>
      <c r="AF38" s="284">
        <v>0</v>
      </c>
      <c r="AG38" s="284">
        <v>0</v>
      </c>
      <c r="AH38" s="284">
        <v>0</v>
      </c>
      <c r="AI38" s="284">
        <v>0</v>
      </c>
      <c r="AJ38" s="284">
        <v>0</v>
      </c>
      <c r="AK38" s="284">
        <v>0</v>
      </c>
      <c r="AL38" s="284">
        <v>0</v>
      </c>
      <c r="AM38" s="284">
        <v>0</v>
      </c>
      <c r="AN38" s="284">
        <v>0</v>
      </c>
      <c r="AO38" s="284">
        <v>0</v>
      </c>
      <c r="AP38" s="284">
        <v>0</v>
      </c>
      <c r="AQ38" s="284">
        <v>0</v>
      </c>
      <c r="AR38" s="284">
        <v>554</v>
      </c>
      <c r="AS38" s="284">
        <v>0</v>
      </c>
      <c r="AT38" s="284">
        <v>0</v>
      </c>
      <c r="AU38" s="284">
        <v>0</v>
      </c>
      <c r="AV38" s="284">
        <v>0</v>
      </c>
      <c r="AW38" s="284">
        <v>0</v>
      </c>
      <c r="AX38" s="284">
        <v>0</v>
      </c>
      <c r="AY38" s="284">
        <v>0</v>
      </c>
      <c r="AZ38" s="284">
        <v>0</v>
      </c>
      <c r="BA38" s="284">
        <v>0</v>
      </c>
      <c r="BB38" s="284">
        <v>0</v>
      </c>
      <c r="BC38" s="284">
        <v>0</v>
      </c>
      <c r="BD38" s="284">
        <v>0</v>
      </c>
      <c r="BE38" s="284">
        <v>0</v>
      </c>
      <c r="BF38" s="284">
        <v>0</v>
      </c>
      <c r="BG38" s="284">
        <v>0</v>
      </c>
      <c r="BH38" s="284">
        <v>554</v>
      </c>
    </row>
    <row r="39" spans="1:60">
      <c r="A39" s="192" t="s">
        <v>117</v>
      </c>
      <c r="B39" s="193">
        <v>0</v>
      </c>
      <c r="C39" s="193">
        <v>220799.23</v>
      </c>
      <c r="D39" s="193">
        <v>164528.69</v>
      </c>
      <c r="E39" s="193">
        <v>11090.89</v>
      </c>
      <c r="F39" s="193">
        <v>29993.68</v>
      </c>
      <c r="G39" s="193">
        <v>17254.77</v>
      </c>
      <c r="H39" s="193">
        <v>48373.3</v>
      </c>
      <c r="I39" s="193">
        <v>82722.899999999994</v>
      </c>
      <c r="J39" s="193">
        <v>236419.74</v>
      </c>
      <c r="K39" s="193">
        <v>97786.03</v>
      </c>
      <c r="L39" s="193">
        <v>14139.28</v>
      </c>
      <c r="M39" s="193">
        <v>47289.52</v>
      </c>
      <c r="N39" s="193">
        <v>86906.67</v>
      </c>
      <c r="O39" s="193">
        <v>22332.43</v>
      </c>
      <c r="P39" s="193">
        <v>6431.52</v>
      </c>
      <c r="Q39" s="193">
        <v>29373.01</v>
      </c>
      <c r="R39" s="193">
        <v>25593.52</v>
      </c>
      <c r="S39" s="193">
        <v>29341</v>
      </c>
      <c r="T39" s="193">
        <v>67464.039999999994</v>
      </c>
      <c r="U39" s="193">
        <v>23656.48</v>
      </c>
      <c r="V39" s="193">
        <v>44917.04</v>
      </c>
      <c r="W39" s="193">
        <v>33964.68</v>
      </c>
      <c r="X39" s="193">
        <v>118838.69</v>
      </c>
      <c r="Y39" s="193">
        <v>0</v>
      </c>
      <c r="Z39" s="193">
        <v>0</v>
      </c>
      <c r="AA39" s="193">
        <v>3359.61</v>
      </c>
      <c r="AB39" s="193">
        <v>1227.74</v>
      </c>
      <c r="AC39" s="193">
        <v>112311.43</v>
      </c>
      <c r="AD39" s="193">
        <v>28141.01</v>
      </c>
      <c r="AE39" s="193">
        <v>11769.7</v>
      </c>
      <c r="AF39" s="193">
        <v>6551.05</v>
      </c>
      <c r="AG39" s="193">
        <v>5907.58</v>
      </c>
      <c r="AH39" s="193">
        <v>4521.93</v>
      </c>
      <c r="AI39" s="193">
        <v>22140.02</v>
      </c>
      <c r="AJ39" s="193">
        <v>11905.62</v>
      </c>
      <c r="AK39" s="193">
        <v>0</v>
      </c>
      <c r="AL39" s="193">
        <v>4799.6499999999996</v>
      </c>
      <c r="AM39" s="193">
        <v>2058.54</v>
      </c>
      <c r="AN39" s="193">
        <v>20100.990000000002</v>
      </c>
      <c r="AO39" s="193">
        <v>19212.41</v>
      </c>
      <c r="AP39" s="193">
        <v>64439.97</v>
      </c>
      <c r="AQ39" s="193">
        <v>24871.03</v>
      </c>
      <c r="AR39" s="193">
        <v>237.71</v>
      </c>
      <c r="AS39" s="193">
        <v>0</v>
      </c>
      <c r="AT39" s="193">
        <v>0</v>
      </c>
      <c r="AU39" s="193">
        <v>0</v>
      </c>
      <c r="AV39" s="193">
        <v>0</v>
      </c>
      <c r="AW39" s="193">
        <v>0</v>
      </c>
      <c r="AX39" s="193">
        <v>0</v>
      </c>
      <c r="AY39" s="193">
        <v>0</v>
      </c>
      <c r="AZ39" s="193">
        <v>0</v>
      </c>
      <c r="BA39" s="193">
        <v>0</v>
      </c>
      <c r="BB39" s="193">
        <v>0</v>
      </c>
      <c r="BC39" s="193">
        <v>0</v>
      </c>
      <c r="BD39" s="193">
        <v>0</v>
      </c>
      <c r="BE39" s="193">
        <v>0</v>
      </c>
      <c r="BF39" s="193">
        <v>0</v>
      </c>
      <c r="BG39" s="193">
        <v>0</v>
      </c>
      <c r="BH39" s="193">
        <v>1824102.04</v>
      </c>
    </row>
    <row r="40" spans="1:60">
      <c r="A40" s="191" t="s">
        <v>118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</row>
    <row r="41" spans="1:60">
      <c r="A41" s="187" t="s">
        <v>119</v>
      </c>
      <c r="B41" s="284">
        <v>0</v>
      </c>
      <c r="C41" s="284">
        <v>15705.39</v>
      </c>
      <c r="D41" s="284">
        <v>12535.89</v>
      </c>
      <c r="E41" s="284">
        <v>354.57</v>
      </c>
      <c r="F41" s="284">
        <v>2171.3200000000002</v>
      </c>
      <c r="G41" s="284">
        <v>1234.44</v>
      </c>
      <c r="H41" s="284">
        <v>3515.15</v>
      </c>
      <c r="I41" s="284">
        <v>6005.35</v>
      </c>
      <c r="J41" s="284">
        <v>17231.64</v>
      </c>
      <c r="K41" s="284">
        <v>7142.05</v>
      </c>
      <c r="L41" s="284">
        <v>979.99</v>
      </c>
      <c r="M41" s="284">
        <v>3373.61</v>
      </c>
      <c r="N41" s="284">
        <v>6318.26</v>
      </c>
      <c r="O41" s="284">
        <v>1630.23</v>
      </c>
      <c r="P41" s="284">
        <v>449.97</v>
      </c>
      <c r="Q41" s="284">
        <v>2115.02</v>
      </c>
      <c r="R41" s="284">
        <v>1908</v>
      </c>
      <c r="S41" s="284">
        <v>2184</v>
      </c>
      <c r="T41" s="284">
        <v>4936.2</v>
      </c>
      <c r="U41" s="284">
        <v>2043.01</v>
      </c>
      <c r="V41" s="284">
        <v>2740.43</v>
      </c>
      <c r="W41" s="284">
        <v>3023.82</v>
      </c>
      <c r="X41" s="284">
        <v>8786.59</v>
      </c>
      <c r="Y41" s="284">
        <v>0</v>
      </c>
      <c r="Z41" s="284">
        <v>0</v>
      </c>
      <c r="AA41" s="284">
        <v>240.48</v>
      </c>
      <c r="AB41" s="284">
        <v>86.64</v>
      </c>
      <c r="AC41" s="284">
        <v>8117.11</v>
      </c>
      <c r="AD41" s="284">
        <v>2021.67</v>
      </c>
      <c r="AE41" s="284">
        <v>809.1</v>
      </c>
      <c r="AF41" s="284">
        <v>469.37</v>
      </c>
      <c r="AG41" s="284">
        <v>429.1</v>
      </c>
      <c r="AH41" s="284">
        <v>324.16000000000003</v>
      </c>
      <c r="AI41" s="284">
        <v>1603.14</v>
      </c>
      <c r="AJ41" s="284">
        <v>857.52</v>
      </c>
      <c r="AK41" s="284">
        <v>0</v>
      </c>
      <c r="AL41" s="284">
        <v>1425.54</v>
      </c>
      <c r="AM41" s="284">
        <v>114.4</v>
      </c>
      <c r="AN41" s="284">
        <v>1260.32</v>
      </c>
      <c r="AO41" s="284">
        <v>1730.28</v>
      </c>
      <c r="AP41" s="284">
        <v>4702.6099999999997</v>
      </c>
      <c r="AQ41" s="284">
        <v>1890.54</v>
      </c>
      <c r="AR41" s="284">
        <v>0</v>
      </c>
      <c r="AS41" s="284">
        <v>0</v>
      </c>
      <c r="AT41" s="284">
        <v>0</v>
      </c>
      <c r="AU41" s="284">
        <v>0</v>
      </c>
      <c r="AV41" s="284">
        <v>0</v>
      </c>
      <c r="AW41" s="284">
        <v>0</v>
      </c>
      <c r="AX41" s="284">
        <v>0</v>
      </c>
      <c r="AY41" s="284">
        <v>0</v>
      </c>
      <c r="AZ41" s="284">
        <v>0</v>
      </c>
      <c r="BA41" s="284">
        <v>0</v>
      </c>
      <c r="BB41" s="284">
        <v>0</v>
      </c>
      <c r="BC41" s="284">
        <v>0</v>
      </c>
      <c r="BD41" s="284">
        <v>0</v>
      </c>
      <c r="BE41" s="284">
        <v>0</v>
      </c>
      <c r="BF41" s="284">
        <v>0</v>
      </c>
      <c r="BG41" s="284">
        <v>0</v>
      </c>
      <c r="BH41" s="284">
        <v>133612.85999999999</v>
      </c>
    </row>
    <row r="42" spans="1:60">
      <c r="A42" s="187" t="s">
        <v>120</v>
      </c>
      <c r="B42" s="284">
        <v>0</v>
      </c>
      <c r="C42" s="284">
        <v>62.09</v>
      </c>
      <c r="D42" s="284">
        <v>202.96</v>
      </c>
      <c r="E42" s="284">
        <v>3.2</v>
      </c>
      <c r="F42" s="284">
        <v>45.62</v>
      </c>
      <c r="G42" s="284">
        <v>14.03</v>
      </c>
      <c r="H42" s="284">
        <v>47.29</v>
      </c>
      <c r="I42" s="284">
        <v>101.5</v>
      </c>
      <c r="J42" s="284">
        <v>196.3</v>
      </c>
      <c r="K42" s="284">
        <v>90.92</v>
      </c>
      <c r="L42" s="284">
        <v>14.96</v>
      </c>
      <c r="M42" s="284">
        <v>37.450000000000003</v>
      </c>
      <c r="N42" s="284">
        <v>72.89</v>
      </c>
      <c r="O42" s="284">
        <v>29.83</v>
      </c>
      <c r="P42" s="284">
        <v>3.99</v>
      </c>
      <c r="Q42" s="284">
        <v>33.630000000000003</v>
      </c>
      <c r="R42" s="284">
        <v>24</v>
      </c>
      <c r="S42" s="284">
        <v>24</v>
      </c>
      <c r="T42" s="284">
        <v>87.84</v>
      </c>
      <c r="U42" s="284">
        <v>98.73</v>
      </c>
      <c r="V42" s="284">
        <v>45.11</v>
      </c>
      <c r="W42" s="284">
        <v>58.84</v>
      </c>
      <c r="X42" s="284">
        <v>215.19</v>
      </c>
      <c r="Y42" s="284">
        <v>0</v>
      </c>
      <c r="Z42" s="284">
        <v>0</v>
      </c>
      <c r="AA42" s="284">
        <v>3.06</v>
      </c>
      <c r="AB42" s="284">
        <v>1.38</v>
      </c>
      <c r="AC42" s="284">
        <v>122.83</v>
      </c>
      <c r="AD42" s="284">
        <v>44.52</v>
      </c>
      <c r="AE42" s="284">
        <v>12.81</v>
      </c>
      <c r="AF42" s="284">
        <v>5.12</v>
      </c>
      <c r="AG42" s="284">
        <v>5.58</v>
      </c>
      <c r="AH42" s="284">
        <v>4.88</v>
      </c>
      <c r="AI42" s="284">
        <v>12.1</v>
      </c>
      <c r="AJ42" s="284">
        <v>2.68</v>
      </c>
      <c r="AK42" s="284">
        <v>0</v>
      </c>
      <c r="AL42" s="284">
        <v>0</v>
      </c>
      <c r="AM42" s="284">
        <v>1.1000000000000001</v>
      </c>
      <c r="AN42" s="284">
        <v>38.35</v>
      </c>
      <c r="AO42" s="284">
        <v>59.05</v>
      </c>
      <c r="AP42" s="284">
        <v>93.89</v>
      </c>
      <c r="AQ42" s="284">
        <v>29.4</v>
      </c>
      <c r="AR42" s="284">
        <v>0</v>
      </c>
      <c r="AS42" s="284">
        <v>0</v>
      </c>
      <c r="AT42" s="284">
        <v>0</v>
      </c>
      <c r="AU42" s="284">
        <v>0</v>
      </c>
      <c r="AV42" s="284">
        <v>0</v>
      </c>
      <c r="AW42" s="284">
        <v>0</v>
      </c>
      <c r="AX42" s="284">
        <v>0</v>
      </c>
      <c r="AY42" s="284">
        <v>0</v>
      </c>
      <c r="AZ42" s="284">
        <v>0</v>
      </c>
      <c r="BA42" s="284">
        <v>0</v>
      </c>
      <c r="BB42" s="284">
        <v>0</v>
      </c>
      <c r="BC42" s="284">
        <v>0</v>
      </c>
      <c r="BD42" s="284">
        <v>0</v>
      </c>
      <c r="BE42" s="284">
        <v>0</v>
      </c>
      <c r="BF42" s="284">
        <v>0</v>
      </c>
      <c r="BG42" s="284">
        <v>0</v>
      </c>
      <c r="BH42" s="284">
        <v>1977.74</v>
      </c>
    </row>
    <row r="43" spans="1:60">
      <c r="A43" s="192" t="s">
        <v>121</v>
      </c>
      <c r="B43" s="193">
        <v>0</v>
      </c>
      <c r="C43" s="193">
        <v>15767.48</v>
      </c>
      <c r="D43" s="193">
        <v>12738.85</v>
      </c>
      <c r="E43" s="193">
        <v>357.77</v>
      </c>
      <c r="F43" s="193">
        <v>2216.94</v>
      </c>
      <c r="G43" s="193">
        <v>1248.47</v>
      </c>
      <c r="H43" s="193">
        <v>3562.44</v>
      </c>
      <c r="I43" s="193">
        <v>6106.85</v>
      </c>
      <c r="J43" s="193">
        <v>17427.939999999999</v>
      </c>
      <c r="K43" s="193">
        <v>7232.97</v>
      </c>
      <c r="L43" s="193">
        <v>994.95</v>
      </c>
      <c r="M43" s="193">
        <v>3411.06</v>
      </c>
      <c r="N43" s="193">
        <v>6391.15</v>
      </c>
      <c r="O43" s="193">
        <v>1660.06</v>
      </c>
      <c r="P43" s="193">
        <v>453.96</v>
      </c>
      <c r="Q43" s="193">
        <v>2148.65</v>
      </c>
      <c r="R43" s="193">
        <v>1932</v>
      </c>
      <c r="S43" s="193">
        <v>2208</v>
      </c>
      <c r="T43" s="193">
        <v>5024.04</v>
      </c>
      <c r="U43" s="193">
        <v>2141.7399999999998</v>
      </c>
      <c r="V43" s="193">
        <v>2785.54</v>
      </c>
      <c r="W43" s="193">
        <v>3082.66</v>
      </c>
      <c r="X43" s="193">
        <v>9001.7800000000007</v>
      </c>
      <c r="Y43" s="193">
        <v>0</v>
      </c>
      <c r="Z43" s="193">
        <v>0</v>
      </c>
      <c r="AA43" s="193">
        <v>243.54</v>
      </c>
      <c r="AB43" s="193">
        <v>88.02</v>
      </c>
      <c r="AC43" s="193">
        <v>8239.94</v>
      </c>
      <c r="AD43" s="193">
        <v>2066.19</v>
      </c>
      <c r="AE43" s="193">
        <v>821.91</v>
      </c>
      <c r="AF43" s="193">
        <v>474.49</v>
      </c>
      <c r="AG43" s="193">
        <v>434.68</v>
      </c>
      <c r="AH43" s="193">
        <v>329.04</v>
      </c>
      <c r="AI43" s="193">
        <v>1615.24</v>
      </c>
      <c r="AJ43" s="193">
        <v>860.2</v>
      </c>
      <c r="AK43" s="193">
        <v>0</v>
      </c>
      <c r="AL43" s="193">
        <v>1425.54</v>
      </c>
      <c r="AM43" s="193">
        <v>115.5</v>
      </c>
      <c r="AN43" s="193">
        <v>1298.67</v>
      </c>
      <c r="AO43" s="193">
        <v>1789.33</v>
      </c>
      <c r="AP43" s="193">
        <v>4796.5</v>
      </c>
      <c r="AQ43" s="193">
        <v>1919.94</v>
      </c>
      <c r="AR43" s="193">
        <v>0</v>
      </c>
      <c r="AS43" s="193">
        <v>0</v>
      </c>
      <c r="AT43" s="193">
        <v>0</v>
      </c>
      <c r="AU43" s="193">
        <v>0</v>
      </c>
      <c r="AV43" s="193">
        <v>0</v>
      </c>
      <c r="AW43" s="193">
        <v>0</v>
      </c>
      <c r="AX43" s="193">
        <v>0</v>
      </c>
      <c r="AY43" s="193">
        <v>0</v>
      </c>
      <c r="AZ43" s="193">
        <v>0</v>
      </c>
      <c r="BA43" s="193">
        <v>0</v>
      </c>
      <c r="BB43" s="193">
        <v>0</v>
      </c>
      <c r="BC43" s="193">
        <v>0</v>
      </c>
      <c r="BD43" s="193">
        <v>0</v>
      </c>
      <c r="BE43" s="193">
        <v>0</v>
      </c>
      <c r="BF43" s="193">
        <v>0</v>
      </c>
      <c r="BG43" s="193">
        <v>0</v>
      </c>
      <c r="BH43" s="193">
        <v>135590.6</v>
      </c>
    </row>
    <row r="44" spans="1:60">
      <c r="A44" s="191" t="s">
        <v>122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</row>
    <row r="45" spans="1:60">
      <c r="A45" s="187" t="s">
        <v>123</v>
      </c>
      <c r="B45" s="284">
        <v>0</v>
      </c>
      <c r="C45" s="284">
        <v>19043.84</v>
      </c>
      <c r="D45" s="284">
        <v>32231.16</v>
      </c>
      <c r="E45" s="284">
        <v>577.97</v>
      </c>
      <c r="F45" s="284">
        <v>5791.7</v>
      </c>
      <c r="G45" s="284">
        <v>3244.57</v>
      </c>
      <c r="H45" s="284">
        <v>7012.78</v>
      </c>
      <c r="I45" s="284">
        <v>11091.52</v>
      </c>
      <c r="J45" s="284">
        <v>40876.14</v>
      </c>
      <c r="K45" s="284">
        <v>18135.95</v>
      </c>
      <c r="L45" s="284">
        <v>2797.63</v>
      </c>
      <c r="M45" s="284">
        <v>6808.59</v>
      </c>
      <c r="N45" s="284">
        <v>12199.11</v>
      </c>
      <c r="O45" s="284">
        <v>3792</v>
      </c>
      <c r="P45" s="284">
        <v>1260.3499999999999</v>
      </c>
      <c r="Q45" s="284">
        <v>3836.61</v>
      </c>
      <c r="R45" s="284">
        <v>4770</v>
      </c>
      <c r="S45" s="284">
        <v>5466</v>
      </c>
      <c r="T45" s="284">
        <v>5642.73</v>
      </c>
      <c r="U45" s="284">
        <v>3495.03</v>
      </c>
      <c r="V45" s="284">
        <v>6611.65</v>
      </c>
      <c r="W45" s="284">
        <v>4078.74</v>
      </c>
      <c r="X45" s="284">
        <v>19532.07</v>
      </c>
      <c r="Y45" s="284">
        <v>0</v>
      </c>
      <c r="Z45" s="284">
        <v>0</v>
      </c>
      <c r="AA45" s="284">
        <v>682.61</v>
      </c>
      <c r="AB45" s="284">
        <v>293.11</v>
      </c>
      <c r="AC45" s="284">
        <v>17039.13</v>
      </c>
      <c r="AD45" s="284">
        <v>4159.49</v>
      </c>
      <c r="AE45" s="284">
        <v>3454.5</v>
      </c>
      <c r="AF45" s="284">
        <v>1103.82</v>
      </c>
      <c r="AG45" s="284">
        <v>999.97</v>
      </c>
      <c r="AH45" s="284">
        <v>768.79</v>
      </c>
      <c r="AI45" s="284">
        <v>3438.28</v>
      </c>
      <c r="AJ45" s="284">
        <v>1928.89</v>
      </c>
      <c r="AK45" s="284">
        <v>0</v>
      </c>
      <c r="AL45" s="284">
        <v>2311.92</v>
      </c>
      <c r="AM45" s="284">
        <v>772.9</v>
      </c>
      <c r="AN45" s="284">
        <v>216.36</v>
      </c>
      <c r="AO45" s="284">
        <v>554.26</v>
      </c>
      <c r="AP45" s="284">
        <v>7397.03</v>
      </c>
      <c r="AQ45" s="284">
        <v>189.1</v>
      </c>
      <c r="AR45" s="284">
        <v>-7363.37</v>
      </c>
      <c r="AS45" s="284">
        <v>0</v>
      </c>
      <c r="AT45" s="284">
        <v>0</v>
      </c>
      <c r="AU45" s="284">
        <v>0</v>
      </c>
      <c r="AV45" s="284">
        <v>0</v>
      </c>
      <c r="AW45" s="284">
        <v>0</v>
      </c>
      <c r="AX45" s="284">
        <v>0</v>
      </c>
      <c r="AY45" s="284">
        <v>0</v>
      </c>
      <c r="AZ45" s="284">
        <v>0</v>
      </c>
      <c r="BA45" s="284">
        <v>0</v>
      </c>
      <c r="BB45" s="284">
        <v>0</v>
      </c>
      <c r="BC45" s="284">
        <v>0</v>
      </c>
      <c r="BD45" s="284">
        <v>0</v>
      </c>
      <c r="BE45" s="284">
        <v>0</v>
      </c>
      <c r="BF45" s="284">
        <v>0</v>
      </c>
      <c r="BG45" s="284">
        <v>0</v>
      </c>
      <c r="BH45" s="284">
        <v>257784.21</v>
      </c>
    </row>
    <row r="46" spans="1:60">
      <c r="A46" s="187" t="s">
        <v>124</v>
      </c>
      <c r="B46" s="284">
        <v>0</v>
      </c>
      <c r="C46" s="284"/>
      <c r="D46" s="284">
        <v>387.85</v>
      </c>
      <c r="E46" s="284">
        <v>7.7</v>
      </c>
      <c r="F46" s="284">
        <v>74.239999999999995</v>
      </c>
      <c r="G46" s="284">
        <v>26.33</v>
      </c>
      <c r="H46" s="284">
        <v>81.96</v>
      </c>
      <c r="I46" s="284">
        <v>182.7</v>
      </c>
      <c r="J46" s="284">
        <v>493.11</v>
      </c>
      <c r="K46" s="284">
        <v>209.16</v>
      </c>
      <c r="L46" s="284">
        <v>30.31</v>
      </c>
      <c r="M46" s="284">
        <v>78</v>
      </c>
      <c r="N46" s="284">
        <v>153.44</v>
      </c>
      <c r="O46" s="284">
        <v>62.09</v>
      </c>
      <c r="P46" s="284">
        <v>9.49</v>
      </c>
      <c r="Q46" s="284">
        <v>48.79</v>
      </c>
      <c r="R46" s="284">
        <v>72</v>
      </c>
      <c r="S46" s="284">
        <v>78</v>
      </c>
      <c r="T46" s="284">
        <v>87.88</v>
      </c>
      <c r="U46" s="284">
        <v>27.86</v>
      </c>
      <c r="V46" s="284">
        <v>70.459999999999994</v>
      </c>
      <c r="W46" s="284">
        <v>59.55</v>
      </c>
      <c r="X46" s="284">
        <v>316.12</v>
      </c>
      <c r="Y46" s="284">
        <v>0</v>
      </c>
      <c r="Z46" s="284">
        <v>0</v>
      </c>
      <c r="AA46" s="284">
        <v>5.01</v>
      </c>
      <c r="AB46" s="284">
        <v>2</v>
      </c>
      <c r="AC46" s="284">
        <v>222.81</v>
      </c>
      <c r="AD46" s="284">
        <v>61.75</v>
      </c>
      <c r="AE46" s="284">
        <v>6.73</v>
      </c>
      <c r="AF46" s="284">
        <v>4.1399999999999997</v>
      </c>
      <c r="AG46" s="284">
        <v>3.29</v>
      </c>
      <c r="AH46" s="284">
        <v>0.2</v>
      </c>
      <c r="AI46" s="284">
        <v>18.09</v>
      </c>
      <c r="AJ46" s="284">
        <v>12.87</v>
      </c>
      <c r="AK46" s="284">
        <v>0</v>
      </c>
      <c r="AL46" s="284">
        <v>30.3</v>
      </c>
      <c r="AM46" s="284">
        <v>4</v>
      </c>
      <c r="AN46" s="284">
        <v>20.97</v>
      </c>
      <c r="AO46" s="284">
        <v>39.68</v>
      </c>
      <c r="AP46" s="284">
        <v>119.64</v>
      </c>
      <c r="AQ46" s="284">
        <v>23.73</v>
      </c>
      <c r="AR46" s="284">
        <v>-108.9</v>
      </c>
      <c r="AS46" s="284">
        <v>0</v>
      </c>
      <c r="AT46" s="284">
        <v>0</v>
      </c>
      <c r="AU46" s="284">
        <v>0</v>
      </c>
      <c r="AV46" s="284">
        <v>0</v>
      </c>
      <c r="AW46" s="284">
        <v>0</v>
      </c>
      <c r="AX46" s="284">
        <v>0</v>
      </c>
      <c r="AY46" s="284">
        <v>0</v>
      </c>
      <c r="AZ46" s="284">
        <v>0</v>
      </c>
      <c r="BA46" s="284">
        <v>0</v>
      </c>
      <c r="BB46" s="284">
        <v>0</v>
      </c>
      <c r="BC46" s="284">
        <v>0</v>
      </c>
      <c r="BD46" s="284">
        <v>0</v>
      </c>
      <c r="BE46" s="284">
        <v>0</v>
      </c>
      <c r="BF46" s="284">
        <v>0</v>
      </c>
      <c r="BG46" s="284">
        <v>0</v>
      </c>
      <c r="BH46" s="284">
        <v>3252.48</v>
      </c>
    </row>
    <row r="47" spans="1:60">
      <c r="A47" s="187" t="s">
        <v>125</v>
      </c>
      <c r="B47" s="284">
        <v>0</v>
      </c>
      <c r="C47" s="284">
        <v>58.57</v>
      </c>
      <c r="D47" s="284">
        <v>188.78</v>
      </c>
      <c r="E47" s="284">
        <v>3.45</v>
      </c>
      <c r="F47" s="284">
        <v>33.33</v>
      </c>
      <c r="G47" s="284">
        <v>11.83</v>
      </c>
      <c r="H47" s="284">
        <v>35.72</v>
      </c>
      <c r="I47" s="284">
        <v>78.38</v>
      </c>
      <c r="J47" s="284">
        <v>217.71</v>
      </c>
      <c r="K47" s="284">
        <v>92.94</v>
      </c>
      <c r="L47" s="284">
        <v>13.59</v>
      </c>
      <c r="M47" s="284">
        <v>34.67</v>
      </c>
      <c r="N47" s="284">
        <v>68.95</v>
      </c>
      <c r="O47" s="284">
        <v>27.22</v>
      </c>
      <c r="P47" s="284">
        <v>2.91</v>
      </c>
      <c r="Q47" s="284">
        <v>21.97</v>
      </c>
      <c r="R47" s="284">
        <v>42</v>
      </c>
      <c r="S47" s="284">
        <v>48</v>
      </c>
      <c r="T47" s="284">
        <v>39.520000000000003</v>
      </c>
      <c r="U47" s="284">
        <v>9.18</v>
      </c>
      <c r="V47" s="284">
        <v>33.659999999999997</v>
      </c>
      <c r="W47" s="284">
        <v>26.71</v>
      </c>
      <c r="X47" s="284">
        <v>114.84</v>
      </c>
      <c r="Y47" s="284">
        <v>0</v>
      </c>
      <c r="Z47" s="284">
        <v>0</v>
      </c>
      <c r="AA47" s="284">
        <v>2.2400000000000002</v>
      </c>
      <c r="AB47" s="284">
        <v>0.89</v>
      </c>
      <c r="AC47" s="284">
        <v>76.09</v>
      </c>
      <c r="AD47" s="284">
        <v>19.68</v>
      </c>
      <c r="AE47" s="284">
        <v>13.4</v>
      </c>
      <c r="AF47" s="284">
        <v>4.78</v>
      </c>
      <c r="AG47" s="284">
        <v>4.71</v>
      </c>
      <c r="AH47" s="284">
        <v>3.38</v>
      </c>
      <c r="AI47" s="284">
        <v>12.97</v>
      </c>
      <c r="AJ47" s="284">
        <v>6.39</v>
      </c>
      <c r="AK47" s="284">
        <v>0</v>
      </c>
      <c r="AL47" s="284">
        <v>13.62</v>
      </c>
      <c r="AM47" s="284">
        <v>1.8</v>
      </c>
      <c r="AN47" s="284">
        <v>2.1800000000000002</v>
      </c>
      <c r="AO47" s="284">
        <v>6.93</v>
      </c>
      <c r="AP47" s="284">
        <v>57.82</v>
      </c>
      <c r="AQ47" s="284">
        <v>1.56</v>
      </c>
      <c r="AR47" s="284">
        <v>29.51</v>
      </c>
      <c r="AS47" s="284">
        <v>0</v>
      </c>
      <c r="AT47" s="284">
        <v>0</v>
      </c>
      <c r="AU47" s="284">
        <v>0</v>
      </c>
      <c r="AV47" s="284">
        <v>0</v>
      </c>
      <c r="AW47" s="284">
        <v>0</v>
      </c>
      <c r="AX47" s="284">
        <v>0</v>
      </c>
      <c r="AY47" s="284">
        <v>0</v>
      </c>
      <c r="AZ47" s="284">
        <v>0</v>
      </c>
      <c r="BA47" s="284">
        <v>0</v>
      </c>
      <c r="BB47" s="284">
        <v>0</v>
      </c>
      <c r="BC47" s="284">
        <v>0</v>
      </c>
      <c r="BD47" s="284">
        <v>0</v>
      </c>
      <c r="BE47" s="284">
        <v>0</v>
      </c>
      <c r="BF47" s="284">
        <v>0</v>
      </c>
      <c r="BG47" s="284">
        <v>0</v>
      </c>
      <c r="BH47" s="284">
        <v>1475.5</v>
      </c>
    </row>
    <row r="48" spans="1:60">
      <c r="A48" s="187" t="s">
        <v>126</v>
      </c>
      <c r="B48" s="284">
        <v>0</v>
      </c>
      <c r="C48" s="284">
        <v>440.29</v>
      </c>
      <c r="D48" s="284">
        <v>394.26</v>
      </c>
      <c r="E48" s="284">
        <v>9.16</v>
      </c>
      <c r="F48" s="284">
        <v>70.040000000000006</v>
      </c>
      <c r="G48" s="284">
        <v>27.9</v>
      </c>
      <c r="H48" s="284">
        <v>112.35</v>
      </c>
      <c r="I48" s="284">
        <v>189.88</v>
      </c>
      <c r="J48" s="284">
        <v>491.87</v>
      </c>
      <c r="K48" s="284">
        <v>207.23</v>
      </c>
      <c r="L48" s="284">
        <v>32.659999999999997</v>
      </c>
      <c r="M48" s="284">
        <v>107.16</v>
      </c>
      <c r="N48" s="284">
        <v>193.86</v>
      </c>
      <c r="O48" s="284">
        <v>45.54</v>
      </c>
      <c r="P48" s="284">
        <v>10.76</v>
      </c>
      <c r="Q48" s="284">
        <v>66.150000000000006</v>
      </c>
      <c r="R48" s="284">
        <v>48</v>
      </c>
      <c r="S48" s="284">
        <v>54</v>
      </c>
      <c r="T48" s="284">
        <v>147.16999999999999</v>
      </c>
      <c r="U48" s="284">
        <v>67.25</v>
      </c>
      <c r="V48" s="284">
        <v>84.15</v>
      </c>
      <c r="W48" s="284">
        <v>70.61</v>
      </c>
      <c r="X48" s="284">
        <v>268.31</v>
      </c>
      <c r="Y48" s="284">
        <v>0</v>
      </c>
      <c r="Z48" s="284">
        <v>0</v>
      </c>
      <c r="AA48" s="284">
        <v>4.6100000000000003</v>
      </c>
      <c r="AB48" s="284">
        <v>1.37</v>
      </c>
      <c r="AC48" s="284">
        <v>260.87</v>
      </c>
      <c r="AD48" s="284">
        <v>64.8</v>
      </c>
      <c r="AE48" s="284">
        <v>26.37</v>
      </c>
      <c r="AF48" s="284">
        <v>14.8</v>
      </c>
      <c r="AG48" s="284">
        <v>13.34</v>
      </c>
      <c r="AH48" s="284">
        <v>10.24</v>
      </c>
      <c r="AI48" s="284">
        <v>49.3</v>
      </c>
      <c r="AJ48" s="284">
        <v>27.88</v>
      </c>
      <c r="AK48" s="284">
        <v>0</v>
      </c>
      <c r="AL48" s="284">
        <v>38.340000000000003</v>
      </c>
      <c r="AM48" s="284">
        <v>4.5999999999999996</v>
      </c>
      <c r="AN48" s="284">
        <v>22.83</v>
      </c>
      <c r="AO48" s="284">
        <v>35.74</v>
      </c>
      <c r="AP48" s="284">
        <v>112.43</v>
      </c>
      <c r="AQ48" s="284">
        <v>41.44</v>
      </c>
      <c r="AR48" s="284">
        <v>-235.39</v>
      </c>
      <c r="AS48" s="284">
        <v>0</v>
      </c>
      <c r="AT48" s="284">
        <v>0</v>
      </c>
      <c r="AU48" s="284">
        <v>0</v>
      </c>
      <c r="AV48" s="284">
        <v>0</v>
      </c>
      <c r="AW48" s="284">
        <v>0</v>
      </c>
      <c r="AX48" s="284">
        <v>0</v>
      </c>
      <c r="AY48" s="284">
        <v>0</v>
      </c>
      <c r="AZ48" s="284">
        <v>0</v>
      </c>
      <c r="BA48" s="284">
        <v>0</v>
      </c>
      <c r="BB48" s="284">
        <v>0</v>
      </c>
      <c r="BC48" s="284">
        <v>0</v>
      </c>
      <c r="BD48" s="284">
        <v>0</v>
      </c>
      <c r="BE48" s="284">
        <v>0</v>
      </c>
      <c r="BF48" s="284">
        <v>0</v>
      </c>
      <c r="BG48" s="284">
        <v>0</v>
      </c>
      <c r="BH48" s="284">
        <v>3670.51</v>
      </c>
    </row>
    <row r="49" spans="1:60">
      <c r="A49" s="187" t="s">
        <v>127</v>
      </c>
      <c r="B49" s="284">
        <v>0</v>
      </c>
      <c r="C49" s="284">
        <v>21334.400000000001</v>
      </c>
      <c r="D49" s="284">
        <v>15318.26</v>
      </c>
      <c r="E49" s="284">
        <v>472.58</v>
      </c>
      <c r="F49" s="284">
        <v>3001.01</v>
      </c>
      <c r="G49" s="284">
        <v>1154.0999999999999</v>
      </c>
      <c r="H49" s="284">
        <v>4837.21</v>
      </c>
      <c r="I49" s="284">
        <v>7772.17</v>
      </c>
      <c r="J49" s="284">
        <v>20352.97</v>
      </c>
      <c r="K49" s="284">
        <v>8209.61</v>
      </c>
      <c r="L49" s="284">
        <v>1337.94</v>
      </c>
      <c r="M49" s="284">
        <v>4610.66</v>
      </c>
      <c r="N49" s="284">
        <v>8561.7000000000007</v>
      </c>
      <c r="O49" s="284">
        <v>2304.4</v>
      </c>
      <c r="P49" s="284">
        <v>450.15</v>
      </c>
      <c r="Q49" s="284">
        <v>2434.02</v>
      </c>
      <c r="R49" s="284">
        <v>1530</v>
      </c>
      <c r="S49" s="284">
        <v>1752</v>
      </c>
      <c r="T49" s="284">
        <v>6798.06</v>
      </c>
      <c r="U49" s="284">
        <v>2550.7199999999998</v>
      </c>
      <c r="V49" s="284">
        <v>3576.26</v>
      </c>
      <c r="W49" s="284">
        <v>4028.29</v>
      </c>
      <c r="X49" s="284">
        <v>10716.38</v>
      </c>
      <c r="Y49" s="284">
        <v>0</v>
      </c>
      <c r="Z49" s="284">
        <v>0</v>
      </c>
      <c r="AA49" s="284">
        <v>184.28</v>
      </c>
      <c r="AB49" s="284">
        <v>53.85</v>
      </c>
      <c r="AC49" s="284">
        <v>10262.75</v>
      </c>
      <c r="AD49" s="284">
        <v>2511.46</v>
      </c>
      <c r="AE49" s="284">
        <v>1165.48</v>
      </c>
      <c r="AF49" s="284">
        <v>643.58000000000004</v>
      </c>
      <c r="AG49" s="284">
        <v>576.9</v>
      </c>
      <c r="AH49" s="284">
        <v>452.14</v>
      </c>
      <c r="AI49" s="284">
        <v>2021.11</v>
      </c>
      <c r="AJ49" s="284">
        <v>1179</v>
      </c>
      <c r="AK49" s="284">
        <v>0</v>
      </c>
      <c r="AL49" s="284">
        <v>1127.31</v>
      </c>
      <c r="AM49" s="284">
        <v>205.92</v>
      </c>
      <c r="AN49" s="284">
        <v>434.89</v>
      </c>
      <c r="AO49" s="284">
        <v>966.67</v>
      </c>
      <c r="AP49" s="284">
        <v>5640.81</v>
      </c>
      <c r="AQ49" s="284">
        <v>437.11</v>
      </c>
      <c r="AR49" s="284">
        <v>-16112.69</v>
      </c>
      <c r="AS49" s="284">
        <v>0</v>
      </c>
      <c r="AT49" s="284">
        <v>0</v>
      </c>
      <c r="AU49" s="284">
        <v>0</v>
      </c>
      <c r="AV49" s="284">
        <v>0</v>
      </c>
      <c r="AW49" s="284">
        <v>0</v>
      </c>
      <c r="AX49" s="284">
        <v>0</v>
      </c>
      <c r="AY49" s="284">
        <v>0</v>
      </c>
      <c r="AZ49" s="284">
        <v>0</v>
      </c>
      <c r="BA49" s="284">
        <v>0</v>
      </c>
      <c r="BB49" s="284">
        <v>0</v>
      </c>
      <c r="BC49" s="284">
        <v>0</v>
      </c>
      <c r="BD49" s="284">
        <v>0</v>
      </c>
      <c r="BE49" s="284">
        <v>0</v>
      </c>
      <c r="BF49" s="284">
        <v>0</v>
      </c>
      <c r="BG49" s="284">
        <v>0</v>
      </c>
      <c r="BH49" s="284">
        <v>145760.17000000001</v>
      </c>
    </row>
    <row r="50" spans="1:60">
      <c r="A50" s="187" t="s">
        <v>128</v>
      </c>
      <c r="B50" s="284">
        <v>0</v>
      </c>
      <c r="C50" s="284">
        <v>643.58000000000004</v>
      </c>
      <c r="D50" s="284">
        <v>447.4</v>
      </c>
      <c r="E50" s="284">
        <v>20.62</v>
      </c>
      <c r="F50" s="284">
        <v>41.53</v>
      </c>
      <c r="G50" s="284">
        <v>75.790000000000006</v>
      </c>
      <c r="H50" s="284">
        <v>114.89</v>
      </c>
      <c r="I50" s="284">
        <v>253.13</v>
      </c>
      <c r="J50" s="284">
        <v>382.45</v>
      </c>
      <c r="K50" s="284">
        <v>160.97999999999999</v>
      </c>
      <c r="L50" s="284">
        <v>36.25</v>
      </c>
      <c r="M50" s="284">
        <v>72.3</v>
      </c>
      <c r="N50" s="284">
        <v>212.37</v>
      </c>
      <c r="O50" s="284">
        <v>41.68</v>
      </c>
      <c r="P50" s="284">
        <v>5.07</v>
      </c>
      <c r="Q50" s="284">
        <v>81.150000000000006</v>
      </c>
      <c r="R50" s="284">
        <v>48</v>
      </c>
      <c r="S50" s="284">
        <v>54</v>
      </c>
      <c r="T50" s="284">
        <v>37.75</v>
      </c>
      <c r="U50" s="284">
        <v>53.42</v>
      </c>
      <c r="V50" s="284">
        <v>20.64</v>
      </c>
      <c r="W50" s="284">
        <v>117.28</v>
      </c>
      <c r="X50" s="284">
        <v>148.74</v>
      </c>
      <c r="Y50" s="284">
        <v>0</v>
      </c>
      <c r="Z50" s="284">
        <v>0</v>
      </c>
      <c r="AA50" s="284">
        <v>2.91</v>
      </c>
      <c r="AB50" s="284">
        <v>1.06</v>
      </c>
      <c r="AC50" s="284">
        <v>337.24</v>
      </c>
      <c r="AD50" s="284">
        <v>17.850000000000001</v>
      </c>
      <c r="AE50" s="284">
        <v>61.28</v>
      </c>
      <c r="AF50" s="284">
        <v>5.87</v>
      </c>
      <c r="AG50" s="284">
        <v>4.66</v>
      </c>
      <c r="AH50" s="284">
        <v>3.43</v>
      </c>
      <c r="AI50" s="284">
        <v>25.54</v>
      </c>
      <c r="AJ50" s="284">
        <v>13.96</v>
      </c>
      <c r="AK50" s="284">
        <v>0</v>
      </c>
      <c r="AL50" s="284">
        <v>59.97</v>
      </c>
      <c r="AM50" s="284">
        <v>1.84</v>
      </c>
      <c r="AN50" s="284">
        <v>46.36</v>
      </c>
      <c r="AO50" s="284">
        <v>56.67</v>
      </c>
      <c r="AP50" s="284">
        <v>71.61</v>
      </c>
      <c r="AQ50" s="284">
        <v>22.55</v>
      </c>
      <c r="AR50" s="284">
        <v>1249.99</v>
      </c>
      <c r="AS50" s="284">
        <v>0</v>
      </c>
      <c r="AT50" s="284">
        <v>0</v>
      </c>
      <c r="AU50" s="284">
        <v>0</v>
      </c>
      <c r="AV50" s="284">
        <v>0</v>
      </c>
      <c r="AW50" s="284">
        <v>0</v>
      </c>
      <c r="AX50" s="284">
        <v>0</v>
      </c>
      <c r="AY50" s="284">
        <v>0</v>
      </c>
      <c r="AZ50" s="284">
        <v>0</v>
      </c>
      <c r="BA50" s="284">
        <v>0</v>
      </c>
      <c r="BB50" s="284">
        <v>0</v>
      </c>
      <c r="BC50" s="284">
        <v>0</v>
      </c>
      <c r="BD50" s="284">
        <v>0</v>
      </c>
      <c r="BE50" s="284">
        <v>0</v>
      </c>
      <c r="BF50" s="284">
        <v>0</v>
      </c>
      <c r="BG50" s="284">
        <v>0</v>
      </c>
      <c r="BH50" s="284">
        <v>5103.41</v>
      </c>
    </row>
    <row r="51" spans="1:60">
      <c r="A51" s="187" t="s">
        <v>129</v>
      </c>
      <c r="B51" s="284">
        <v>0</v>
      </c>
      <c r="C51" s="284">
        <v>765.91</v>
      </c>
      <c r="D51" s="284">
        <v>577.29</v>
      </c>
      <c r="E51" s="284">
        <v>14.99</v>
      </c>
      <c r="F51" s="284">
        <v>62.18</v>
      </c>
      <c r="G51" s="284">
        <v>16.04</v>
      </c>
      <c r="H51" s="284">
        <v>125.69</v>
      </c>
      <c r="I51" s="284">
        <v>279.24</v>
      </c>
      <c r="J51" s="284">
        <v>653.62</v>
      </c>
      <c r="K51" s="284">
        <v>279.61</v>
      </c>
      <c r="L51" s="284">
        <v>26.26</v>
      </c>
      <c r="M51" s="284">
        <v>136.74</v>
      </c>
      <c r="N51" s="284">
        <v>250.55</v>
      </c>
      <c r="O51" s="284">
        <v>57.23</v>
      </c>
      <c r="P51" s="284">
        <v>10.199999999999999</v>
      </c>
      <c r="Q51" s="284">
        <v>108.86</v>
      </c>
      <c r="R51" s="284">
        <v>0</v>
      </c>
      <c r="S51" s="284">
        <v>0</v>
      </c>
      <c r="T51" s="284">
        <v>242.25</v>
      </c>
      <c r="U51" s="284">
        <v>106.52</v>
      </c>
      <c r="V51" s="284">
        <v>118.82</v>
      </c>
      <c r="W51" s="284">
        <v>114.77</v>
      </c>
      <c r="X51" s="284">
        <v>440.59</v>
      </c>
      <c r="Y51" s="284">
        <v>0</v>
      </c>
      <c r="Z51" s="284">
        <v>0</v>
      </c>
      <c r="AA51" s="284">
        <v>1.35</v>
      </c>
      <c r="AB51" s="284">
        <v>0</v>
      </c>
      <c r="AC51" s="284">
        <v>347.47</v>
      </c>
      <c r="AD51" s="284">
        <v>85.87</v>
      </c>
      <c r="AE51" s="284">
        <v>11.29</v>
      </c>
      <c r="AF51" s="284">
        <v>13.07</v>
      </c>
      <c r="AG51" s="284">
        <v>9.5299999999999994</v>
      </c>
      <c r="AH51" s="284">
        <v>7.55</v>
      </c>
      <c r="AI51" s="284">
        <v>44.02</v>
      </c>
      <c r="AJ51" s="284">
        <v>28.6</v>
      </c>
      <c r="AK51" s="284">
        <v>0</v>
      </c>
      <c r="AL51" s="284">
        <v>63.36</v>
      </c>
      <c r="AM51" s="284">
        <v>7.6</v>
      </c>
      <c r="AN51" s="284">
        <v>9.18</v>
      </c>
      <c r="AO51" s="284">
        <v>29.9</v>
      </c>
      <c r="AP51" s="284">
        <v>172.69</v>
      </c>
      <c r="AQ51" s="284">
        <v>9.4</v>
      </c>
      <c r="AR51" s="284">
        <v>84.18</v>
      </c>
      <c r="AS51" s="284">
        <v>0</v>
      </c>
      <c r="AT51" s="284">
        <v>0</v>
      </c>
      <c r="AU51" s="284">
        <v>0</v>
      </c>
      <c r="AV51" s="284">
        <v>0</v>
      </c>
      <c r="AW51" s="284">
        <v>0</v>
      </c>
      <c r="AX51" s="284">
        <v>0</v>
      </c>
      <c r="AY51" s="284">
        <v>0</v>
      </c>
      <c r="AZ51" s="284">
        <v>0</v>
      </c>
      <c r="BA51" s="284">
        <v>0</v>
      </c>
      <c r="BB51" s="284">
        <v>0</v>
      </c>
      <c r="BC51" s="284">
        <v>0</v>
      </c>
      <c r="BD51" s="284">
        <v>0</v>
      </c>
      <c r="BE51" s="284">
        <v>0</v>
      </c>
      <c r="BF51" s="284">
        <v>0</v>
      </c>
      <c r="BG51" s="284">
        <v>0</v>
      </c>
      <c r="BH51" s="284">
        <v>5375.78</v>
      </c>
    </row>
    <row r="52" spans="1:60">
      <c r="A52" s="187" t="s">
        <v>130</v>
      </c>
      <c r="B52" s="284">
        <v>0</v>
      </c>
      <c r="C52" s="284">
        <v>0</v>
      </c>
      <c r="D52" s="284">
        <v>0</v>
      </c>
      <c r="E52" s="284">
        <v>0</v>
      </c>
      <c r="F52" s="284">
        <v>0</v>
      </c>
      <c r="G52" s="284">
        <v>0</v>
      </c>
      <c r="H52" s="284">
        <v>0</v>
      </c>
      <c r="I52" s="284">
        <v>0</v>
      </c>
      <c r="J52" s="284">
        <v>0</v>
      </c>
      <c r="K52" s="284">
        <v>0</v>
      </c>
      <c r="L52" s="284">
        <v>0</v>
      </c>
      <c r="M52" s="284">
        <v>0</v>
      </c>
      <c r="N52" s="284">
        <v>0</v>
      </c>
      <c r="O52" s="284">
        <v>0</v>
      </c>
      <c r="P52" s="284">
        <v>0</v>
      </c>
      <c r="Q52" s="284">
        <v>0</v>
      </c>
      <c r="R52" s="284">
        <v>0</v>
      </c>
      <c r="S52" s="284">
        <v>0</v>
      </c>
      <c r="T52" s="284">
        <v>0</v>
      </c>
      <c r="U52" s="284">
        <v>0</v>
      </c>
      <c r="V52" s="284">
        <v>0</v>
      </c>
      <c r="W52" s="284">
        <v>0</v>
      </c>
      <c r="X52" s="284">
        <v>0</v>
      </c>
      <c r="Y52" s="284">
        <v>0</v>
      </c>
      <c r="Z52" s="284">
        <v>0</v>
      </c>
      <c r="AA52" s="284">
        <v>0</v>
      </c>
      <c r="AB52" s="284">
        <v>0</v>
      </c>
      <c r="AC52" s="284">
        <v>0</v>
      </c>
      <c r="AD52" s="284">
        <v>0</v>
      </c>
      <c r="AE52" s="284">
        <v>0</v>
      </c>
      <c r="AF52" s="284">
        <v>0</v>
      </c>
      <c r="AG52" s="284">
        <v>0</v>
      </c>
      <c r="AH52" s="284">
        <v>0</v>
      </c>
      <c r="AI52" s="284">
        <v>0</v>
      </c>
      <c r="AJ52" s="284">
        <v>0</v>
      </c>
      <c r="AK52" s="284">
        <v>0</v>
      </c>
      <c r="AL52" s="284">
        <v>0</v>
      </c>
      <c r="AM52" s="284">
        <v>0</v>
      </c>
      <c r="AN52" s="284">
        <v>0</v>
      </c>
      <c r="AO52" s="284">
        <v>0</v>
      </c>
      <c r="AP52" s="284">
        <v>0</v>
      </c>
      <c r="AQ52" s="284">
        <v>0</v>
      </c>
      <c r="AR52" s="284">
        <v>435.76</v>
      </c>
      <c r="AS52" s="284">
        <v>0</v>
      </c>
      <c r="AT52" s="284">
        <v>0</v>
      </c>
      <c r="AU52" s="284">
        <v>0</v>
      </c>
      <c r="AV52" s="284">
        <v>0</v>
      </c>
      <c r="AW52" s="284">
        <v>0</v>
      </c>
      <c r="AX52" s="284">
        <v>0</v>
      </c>
      <c r="AY52" s="284">
        <v>0</v>
      </c>
      <c r="AZ52" s="284">
        <v>0</v>
      </c>
      <c r="BA52" s="284">
        <v>0</v>
      </c>
      <c r="BB52" s="284">
        <v>0</v>
      </c>
      <c r="BC52" s="284">
        <v>0</v>
      </c>
      <c r="BD52" s="284">
        <v>0</v>
      </c>
      <c r="BE52" s="284">
        <v>0</v>
      </c>
      <c r="BF52" s="284">
        <v>0</v>
      </c>
      <c r="BG52" s="284">
        <v>0</v>
      </c>
      <c r="BH52" s="284">
        <v>435.76</v>
      </c>
    </row>
    <row r="53" spans="1:60">
      <c r="A53" s="187" t="s">
        <v>131</v>
      </c>
      <c r="B53" s="284">
        <v>0</v>
      </c>
      <c r="C53" s="284">
        <v>8567.2999999999993</v>
      </c>
      <c r="D53" s="284">
        <v>0</v>
      </c>
      <c r="E53" s="284">
        <v>0</v>
      </c>
      <c r="F53" s="284">
        <v>0</v>
      </c>
      <c r="G53" s="284">
        <v>0</v>
      </c>
      <c r="H53" s="284">
        <v>0</v>
      </c>
      <c r="I53" s="284">
        <v>0</v>
      </c>
      <c r="J53" s="284">
        <v>0</v>
      </c>
      <c r="K53" s="284">
        <v>0</v>
      </c>
      <c r="L53" s="284">
        <v>0</v>
      </c>
      <c r="M53" s="284">
        <v>0</v>
      </c>
      <c r="N53" s="284">
        <v>0</v>
      </c>
      <c r="O53" s="284">
        <v>0</v>
      </c>
      <c r="P53" s="284">
        <v>0</v>
      </c>
      <c r="Q53" s="284">
        <v>0</v>
      </c>
      <c r="R53" s="284">
        <v>0</v>
      </c>
      <c r="S53" s="284">
        <v>0</v>
      </c>
      <c r="T53" s="284">
        <v>0</v>
      </c>
      <c r="U53" s="284">
        <v>1368.62</v>
      </c>
      <c r="V53" s="284">
        <v>0</v>
      </c>
      <c r="W53" s="284">
        <v>0</v>
      </c>
      <c r="X53" s="284">
        <v>0</v>
      </c>
      <c r="Y53" s="284">
        <v>0</v>
      </c>
      <c r="Z53" s="284">
        <v>0</v>
      </c>
      <c r="AA53" s="284">
        <v>0</v>
      </c>
      <c r="AB53" s="284">
        <v>0</v>
      </c>
      <c r="AC53" s="284">
        <v>0</v>
      </c>
      <c r="AD53" s="284">
        <v>0</v>
      </c>
      <c r="AE53" s="284">
        <v>0</v>
      </c>
      <c r="AF53" s="284">
        <v>0</v>
      </c>
      <c r="AG53" s="284">
        <v>0</v>
      </c>
      <c r="AH53" s="284">
        <v>0</v>
      </c>
      <c r="AI53" s="284">
        <v>0</v>
      </c>
      <c r="AJ53" s="284">
        <v>0</v>
      </c>
      <c r="AK53" s="284">
        <v>0</v>
      </c>
      <c r="AL53" s="284">
        <v>0</v>
      </c>
      <c r="AM53" s="284">
        <v>0</v>
      </c>
      <c r="AN53" s="284">
        <v>0</v>
      </c>
      <c r="AO53" s="284">
        <v>0</v>
      </c>
      <c r="AP53" s="284">
        <v>0</v>
      </c>
      <c r="AQ53" s="284">
        <v>0</v>
      </c>
      <c r="AR53" s="284">
        <v>1726.9</v>
      </c>
      <c r="AS53" s="284">
        <v>0</v>
      </c>
      <c r="AT53" s="284">
        <v>0</v>
      </c>
      <c r="AU53" s="284">
        <v>0</v>
      </c>
      <c r="AV53" s="284">
        <v>0</v>
      </c>
      <c r="AW53" s="284">
        <v>0</v>
      </c>
      <c r="AX53" s="284">
        <v>0</v>
      </c>
      <c r="AY53" s="284">
        <v>0</v>
      </c>
      <c r="AZ53" s="284">
        <v>0</v>
      </c>
      <c r="BA53" s="284">
        <v>0</v>
      </c>
      <c r="BB53" s="284">
        <v>0</v>
      </c>
      <c r="BC53" s="284">
        <v>0</v>
      </c>
      <c r="BD53" s="284">
        <v>0</v>
      </c>
      <c r="BE53" s="284">
        <v>0</v>
      </c>
      <c r="BF53" s="284">
        <v>0</v>
      </c>
      <c r="BG53" s="284">
        <v>0</v>
      </c>
      <c r="BH53" s="284">
        <v>11662.82</v>
      </c>
    </row>
    <row r="54" spans="1:60">
      <c r="A54" s="192" t="s">
        <v>132</v>
      </c>
      <c r="B54" s="193">
        <v>0</v>
      </c>
      <c r="C54" s="193">
        <v>51052.72</v>
      </c>
      <c r="D54" s="193">
        <v>49545</v>
      </c>
      <c r="E54" s="193">
        <v>1106.47</v>
      </c>
      <c r="F54" s="193">
        <v>9074.0300000000007</v>
      </c>
      <c r="G54" s="193">
        <v>4556.5600000000004</v>
      </c>
      <c r="H54" s="193">
        <v>12320.6</v>
      </c>
      <c r="I54" s="193">
        <v>19847.02</v>
      </c>
      <c r="J54" s="193">
        <v>63467.87</v>
      </c>
      <c r="K54" s="193">
        <v>27295.48</v>
      </c>
      <c r="L54" s="193">
        <v>4274.6400000000003</v>
      </c>
      <c r="M54" s="193">
        <v>11848.12</v>
      </c>
      <c r="N54" s="193">
        <v>21639.98</v>
      </c>
      <c r="O54" s="193">
        <v>6330.16</v>
      </c>
      <c r="P54" s="193">
        <v>1748.93</v>
      </c>
      <c r="Q54" s="193">
        <v>6597.55</v>
      </c>
      <c r="R54" s="193">
        <v>6510</v>
      </c>
      <c r="S54" s="193">
        <v>7452</v>
      </c>
      <c r="T54" s="193">
        <v>12995.36</v>
      </c>
      <c r="U54" s="193">
        <v>7678.6</v>
      </c>
      <c r="V54" s="193">
        <v>10515.64</v>
      </c>
      <c r="W54" s="193">
        <v>8495.9500000000007</v>
      </c>
      <c r="X54" s="193">
        <v>31537.05</v>
      </c>
      <c r="Y54" s="193">
        <v>0</v>
      </c>
      <c r="Z54" s="193">
        <v>0</v>
      </c>
      <c r="AA54" s="193">
        <v>883.01</v>
      </c>
      <c r="AB54" s="193">
        <v>352.28</v>
      </c>
      <c r="AC54" s="193">
        <v>28546.36</v>
      </c>
      <c r="AD54" s="193">
        <v>6920.9</v>
      </c>
      <c r="AE54" s="193">
        <v>4739.05</v>
      </c>
      <c r="AF54" s="193">
        <v>1790.06</v>
      </c>
      <c r="AG54" s="193">
        <v>1612.4</v>
      </c>
      <c r="AH54" s="193">
        <v>1245.73</v>
      </c>
      <c r="AI54" s="193">
        <v>5609.31</v>
      </c>
      <c r="AJ54" s="193">
        <v>3197.59</v>
      </c>
      <c r="AK54" s="193">
        <v>0</v>
      </c>
      <c r="AL54" s="193">
        <v>3644.82</v>
      </c>
      <c r="AM54" s="193">
        <v>998.66</v>
      </c>
      <c r="AN54" s="193">
        <v>752.77</v>
      </c>
      <c r="AO54" s="193">
        <v>1689.85</v>
      </c>
      <c r="AP54" s="193">
        <v>13572.03</v>
      </c>
      <c r="AQ54" s="193">
        <v>724.89</v>
      </c>
      <c r="AR54" s="193">
        <v>-20294.009999999998</v>
      </c>
      <c r="AS54" s="193">
        <v>0</v>
      </c>
      <c r="AT54" s="193">
        <v>0</v>
      </c>
      <c r="AU54" s="193">
        <v>0</v>
      </c>
      <c r="AV54" s="193">
        <v>0</v>
      </c>
      <c r="AW54" s="193">
        <v>0</v>
      </c>
      <c r="AX54" s="193">
        <v>0</v>
      </c>
      <c r="AY54" s="193">
        <v>0</v>
      </c>
      <c r="AZ54" s="193">
        <v>0</v>
      </c>
      <c r="BA54" s="193">
        <v>0</v>
      </c>
      <c r="BB54" s="193">
        <v>0</v>
      </c>
      <c r="BC54" s="193">
        <v>0</v>
      </c>
      <c r="BD54" s="193">
        <v>0</v>
      </c>
      <c r="BE54" s="193">
        <v>0</v>
      </c>
      <c r="BF54" s="193">
        <v>0</v>
      </c>
      <c r="BG54" s="193">
        <v>0</v>
      </c>
      <c r="BH54" s="193">
        <v>434520.64</v>
      </c>
    </row>
    <row r="55" spans="1:60">
      <c r="A55" s="191" t="s">
        <v>133</v>
      </c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H55" s="191"/>
    </row>
    <row r="56" spans="1:60">
      <c r="A56" s="187" t="s">
        <v>134</v>
      </c>
      <c r="B56" s="284">
        <v>0</v>
      </c>
      <c r="C56" s="284">
        <v>500</v>
      </c>
      <c r="D56" s="284">
        <v>0</v>
      </c>
      <c r="E56" s="284">
        <v>0</v>
      </c>
      <c r="F56" s="284">
        <v>0</v>
      </c>
      <c r="G56" s="284">
        <v>0</v>
      </c>
      <c r="H56" s="284">
        <v>0</v>
      </c>
      <c r="I56" s="284">
        <v>0</v>
      </c>
      <c r="J56" s="284">
        <v>0</v>
      </c>
      <c r="K56" s="284">
        <v>0</v>
      </c>
      <c r="L56" s="284">
        <v>0</v>
      </c>
      <c r="M56" s="284">
        <v>0</v>
      </c>
      <c r="N56" s="284">
        <v>2000</v>
      </c>
      <c r="O56" s="284">
        <v>0</v>
      </c>
      <c r="P56" s="284">
        <v>0</v>
      </c>
      <c r="Q56" s="284">
        <v>96.25</v>
      </c>
      <c r="R56" s="284">
        <v>0</v>
      </c>
      <c r="S56" s="284">
        <v>0</v>
      </c>
      <c r="T56" s="284">
        <v>0</v>
      </c>
      <c r="U56" s="284">
        <v>0</v>
      </c>
      <c r="V56" s="284">
        <v>0</v>
      </c>
      <c r="W56" s="284">
        <v>0</v>
      </c>
      <c r="X56" s="284">
        <v>0</v>
      </c>
      <c r="Y56" s="284">
        <v>0</v>
      </c>
      <c r="Z56" s="284">
        <v>0</v>
      </c>
      <c r="AA56" s="284">
        <v>0</v>
      </c>
      <c r="AB56" s="284">
        <v>0</v>
      </c>
      <c r="AC56" s="284">
        <v>0</v>
      </c>
      <c r="AD56" s="284">
        <v>0</v>
      </c>
      <c r="AE56" s="284">
        <v>15418.32</v>
      </c>
      <c r="AF56" s="284">
        <v>0</v>
      </c>
      <c r="AG56" s="284">
        <v>2283.4899999999998</v>
      </c>
      <c r="AH56" s="284">
        <v>0</v>
      </c>
      <c r="AI56" s="284">
        <v>514.88</v>
      </c>
      <c r="AJ56" s="284">
        <v>0</v>
      </c>
      <c r="AK56" s="284">
        <v>0</v>
      </c>
      <c r="AL56" s="284">
        <v>0</v>
      </c>
      <c r="AM56" s="284">
        <v>0</v>
      </c>
      <c r="AN56" s="284">
        <v>0</v>
      </c>
      <c r="AO56" s="284">
        <v>0</v>
      </c>
      <c r="AP56" s="284">
        <v>0</v>
      </c>
      <c r="AQ56" s="284">
        <v>0</v>
      </c>
      <c r="AR56" s="284">
        <v>0</v>
      </c>
      <c r="AS56" s="284">
        <v>0</v>
      </c>
      <c r="AT56" s="284">
        <v>0</v>
      </c>
      <c r="AU56" s="284">
        <v>0</v>
      </c>
      <c r="AV56" s="284">
        <v>0</v>
      </c>
      <c r="AW56" s="284">
        <v>0</v>
      </c>
      <c r="AX56" s="284">
        <v>0</v>
      </c>
      <c r="AY56" s="284">
        <v>0</v>
      </c>
      <c r="AZ56" s="284">
        <v>0</v>
      </c>
      <c r="BA56" s="284">
        <v>0</v>
      </c>
      <c r="BB56" s="284">
        <v>0</v>
      </c>
      <c r="BC56" s="284">
        <v>0</v>
      </c>
      <c r="BD56" s="284">
        <v>0</v>
      </c>
      <c r="BE56" s="284">
        <v>0</v>
      </c>
      <c r="BF56" s="284">
        <v>0</v>
      </c>
      <c r="BG56" s="284">
        <v>0</v>
      </c>
      <c r="BH56" s="284">
        <v>20812.939999999999</v>
      </c>
    </row>
    <row r="57" spans="1:60">
      <c r="A57" s="192" t="s">
        <v>135</v>
      </c>
      <c r="B57" s="193">
        <v>0</v>
      </c>
      <c r="C57" s="193">
        <v>500</v>
      </c>
      <c r="D57" s="193">
        <v>0</v>
      </c>
      <c r="E57" s="193">
        <v>0</v>
      </c>
      <c r="F57" s="193">
        <v>0</v>
      </c>
      <c r="G57" s="193">
        <v>0</v>
      </c>
      <c r="H57" s="193">
        <v>0</v>
      </c>
      <c r="I57" s="193">
        <v>0</v>
      </c>
      <c r="J57" s="193">
        <v>0</v>
      </c>
      <c r="K57" s="193">
        <v>0</v>
      </c>
      <c r="L57" s="193">
        <v>0</v>
      </c>
      <c r="M57" s="193">
        <v>0</v>
      </c>
      <c r="N57" s="193">
        <v>2000</v>
      </c>
      <c r="O57" s="193">
        <v>0</v>
      </c>
      <c r="P57" s="193">
        <v>0</v>
      </c>
      <c r="Q57" s="193">
        <v>96.25</v>
      </c>
      <c r="R57" s="193">
        <v>0</v>
      </c>
      <c r="S57" s="193">
        <v>0</v>
      </c>
      <c r="T57" s="193">
        <v>0</v>
      </c>
      <c r="U57" s="193">
        <v>0</v>
      </c>
      <c r="V57" s="193">
        <v>0</v>
      </c>
      <c r="W57" s="193">
        <v>0</v>
      </c>
      <c r="X57" s="193">
        <v>0</v>
      </c>
      <c r="Y57" s="193">
        <v>0</v>
      </c>
      <c r="Z57" s="193">
        <v>0</v>
      </c>
      <c r="AA57" s="193">
        <v>0</v>
      </c>
      <c r="AB57" s="193">
        <v>0</v>
      </c>
      <c r="AC57" s="193">
        <v>0</v>
      </c>
      <c r="AD57" s="193">
        <v>0</v>
      </c>
      <c r="AE57" s="193">
        <v>15418.32</v>
      </c>
      <c r="AF57" s="193">
        <v>0</v>
      </c>
      <c r="AG57" s="193">
        <v>2283.4899999999998</v>
      </c>
      <c r="AH57" s="193">
        <v>0</v>
      </c>
      <c r="AI57" s="193">
        <v>514.88</v>
      </c>
      <c r="AJ57" s="193">
        <v>0</v>
      </c>
      <c r="AK57" s="193">
        <v>0</v>
      </c>
      <c r="AL57" s="193">
        <v>0</v>
      </c>
      <c r="AM57" s="193">
        <v>0</v>
      </c>
      <c r="AN57" s="193">
        <v>0</v>
      </c>
      <c r="AO57" s="193">
        <v>0</v>
      </c>
      <c r="AP57" s="193">
        <v>0</v>
      </c>
      <c r="AQ57" s="193">
        <v>0</v>
      </c>
      <c r="AR57" s="193">
        <v>0</v>
      </c>
      <c r="AS57" s="193">
        <v>0</v>
      </c>
      <c r="AT57" s="193">
        <v>0</v>
      </c>
      <c r="AU57" s="193">
        <v>0</v>
      </c>
      <c r="AV57" s="193">
        <v>0</v>
      </c>
      <c r="AW57" s="193">
        <v>0</v>
      </c>
      <c r="AX57" s="193">
        <v>0</v>
      </c>
      <c r="AY57" s="193">
        <v>0</v>
      </c>
      <c r="AZ57" s="193">
        <v>0</v>
      </c>
      <c r="BA57" s="193">
        <v>0</v>
      </c>
      <c r="BB57" s="193">
        <v>0</v>
      </c>
      <c r="BC57" s="193">
        <v>0</v>
      </c>
      <c r="BD57" s="193">
        <v>0</v>
      </c>
      <c r="BE57" s="193">
        <v>0</v>
      </c>
      <c r="BF57" s="193">
        <v>0</v>
      </c>
      <c r="BG57" s="193">
        <v>0</v>
      </c>
      <c r="BH57" s="193">
        <v>20812.939999999999</v>
      </c>
    </row>
    <row r="58" spans="1:60">
      <c r="A58" s="191" t="s">
        <v>136</v>
      </c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1"/>
      <c r="AR58" s="191"/>
      <c r="AS58" s="191"/>
      <c r="AT58" s="191"/>
      <c r="AU58" s="191"/>
      <c r="AV58" s="191"/>
      <c r="AW58" s="191"/>
      <c r="AX58" s="191"/>
      <c r="AY58" s="191"/>
      <c r="AZ58" s="191"/>
      <c r="BA58" s="191"/>
      <c r="BB58" s="191"/>
      <c r="BC58" s="191"/>
      <c r="BD58" s="191"/>
      <c r="BE58" s="191"/>
      <c r="BF58" s="191"/>
      <c r="BG58" s="191"/>
      <c r="BH58" s="191"/>
    </row>
    <row r="59" spans="1:60">
      <c r="A59" s="187" t="s">
        <v>137</v>
      </c>
      <c r="B59" s="284">
        <v>0</v>
      </c>
      <c r="C59" s="284">
        <v>34302.89</v>
      </c>
      <c r="D59" s="284">
        <v>21883.94</v>
      </c>
      <c r="E59" s="284">
        <v>861.48</v>
      </c>
      <c r="F59" s="284">
        <v>3888</v>
      </c>
      <c r="G59" s="284">
        <v>1625.32</v>
      </c>
      <c r="H59" s="284">
        <v>5777.8</v>
      </c>
      <c r="I59" s="284">
        <v>10445.959999999999</v>
      </c>
      <c r="J59" s="284">
        <v>25050.34</v>
      </c>
      <c r="K59" s="284">
        <v>10620.66</v>
      </c>
      <c r="L59" s="284">
        <v>3499.66</v>
      </c>
      <c r="M59" s="284">
        <v>5986.51</v>
      </c>
      <c r="N59" s="284">
        <v>10215.81</v>
      </c>
      <c r="O59" s="284">
        <v>3222.1</v>
      </c>
      <c r="P59" s="284">
        <v>666.59</v>
      </c>
      <c r="Q59" s="284">
        <v>2229.27</v>
      </c>
      <c r="R59" s="284">
        <v>0</v>
      </c>
      <c r="S59" s="284">
        <v>0</v>
      </c>
      <c r="T59" s="284">
        <v>6747.58</v>
      </c>
      <c r="U59" s="284">
        <v>199.1</v>
      </c>
      <c r="V59" s="284">
        <v>2977.58</v>
      </c>
      <c r="W59" s="284">
        <v>4217.21</v>
      </c>
      <c r="X59" s="284">
        <v>14403.81</v>
      </c>
      <c r="Y59" s="284">
        <v>0</v>
      </c>
      <c r="Z59" s="284">
        <v>0</v>
      </c>
      <c r="AA59" s="284">
        <v>285.17</v>
      </c>
      <c r="AB59" s="284">
        <v>103.47</v>
      </c>
      <c r="AC59" s="284">
        <v>15249.79</v>
      </c>
      <c r="AD59" s="284">
        <v>4005.44</v>
      </c>
      <c r="AE59" s="284">
        <v>1492.49</v>
      </c>
      <c r="AF59" s="284">
        <v>796.4</v>
      </c>
      <c r="AG59" s="284">
        <v>704.72</v>
      </c>
      <c r="AH59" s="284">
        <v>583.66</v>
      </c>
      <c r="AI59" s="284">
        <v>2795.88</v>
      </c>
      <c r="AJ59" s="284">
        <v>1368.1</v>
      </c>
      <c r="AK59" s="284">
        <v>0</v>
      </c>
      <c r="AL59" s="284">
        <v>1260.69</v>
      </c>
      <c r="AM59" s="284">
        <v>179.8</v>
      </c>
      <c r="AN59" s="284">
        <v>513.33000000000004</v>
      </c>
      <c r="AO59" s="284">
        <v>2424.2800000000002</v>
      </c>
      <c r="AP59" s="284">
        <v>6552.72</v>
      </c>
      <c r="AQ59" s="284">
        <v>457.05</v>
      </c>
      <c r="AR59" s="284">
        <v>0</v>
      </c>
      <c r="AS59" s="284">
        <v>0</v>
      </c>
      <c r="AT59" s="284">
        <v>0</v>
      </c>
      <c r="AU59" s="284">
        <v>0</v>
      </c>
      <c r="AV59" s="284">
        <v>0</v>
      </c>
      <c r="AW59" s="284">
        <v>0</v>
      </c>
      <c r="AX59" s="284">
        <v>0</v>
      </c>
      <c r="AY59" s="284">
        <v>0</v>
      </c>
      <c r="AZ59" s="284">
        <v>0</v>
      </c>
      <c r="BA59" s="284">
        <v>0</v>
      </c>
      <c r="BB59" s="284">
        <v>0</v>
      </c>
      <c r="BC59" s="284">
        <v>0</v>
      </c>
      <c r="BD59" s="284">
        <v>0</v>
      </c>
      <c r="BE59" s="284">
        <v>0</v>
      </c>
      <c r="BF59" s="284">
        <v>0</v>
      </c>
      <c r="BG59" s="284">
        <v>0</v>
      </c>
      <c r="BH59" s="284">
        <v>208865.81</v>
      </c>
    </row>
    <row r="60" spans="1:60">
      <c r="A60" s="192" t="s">
        <v>138</v>
      </c>
      <c r="B60" s="193">
        <v>0</v>
      </c>
      <c r="C60" s="193">
        <v>34302.89</v>
      </c>
      <c r="D60" s="193">
        <v>21883.94</v>
      </c>
      <c r="E60" s="193">
        <v>861.48</v>
      </c>
      <c r="F60" s="193">
        <v>3888</v>
      </c>
      <c r="G60" s="193">
        <v>1625.32</v>
      </c>
      <c r="H60" s="193">
        <v>5777.8</v>
      </c>
      <c r="I60" s="193">
        <v>10445.959999999999</v>
      </c>
      <c r="J60" s="193">
        <v>25050.34</v>
      </c>
      <c r="K60" s="193">
        <v>10620.66</v>
      </c>
      <c r="L60" s="193">
        <v>3499.66</v>
      </c>
      <c r="M60" s="193">
        <v>5986.51</v>
      </c>
      <c r="N60" s="193">
        <v>10215.81</v>
      </c>
      <c r="O60" s="193">
        <v>3222.1</v>
      </c>
      <c r="P60" s="193">
        <v>666.59</v>
      </c>
      <c r="Q60" s="193">
        <v>2229.27</v>
      </c>
      <c r="R60" s="193">
        <v>0</v>
      </c>
      <c r="S60" s="193">
        <v>0</v>
      </c>
      <c r="T60" s="193">
        <v>6747.58</v>
      </c>
      <c r="U60" s="193">
        <v>199.1</v>
      </c>
      <c r="V60" s="193">
        <v>2977.58</v>
      </c>
      <c r="W60" s="193">
        <v>4217.21</v>
      </c>
      <c r="X60" s="193">
        <v>14403.81</v>
      </c>
      <c r="Y60" s="193">
        <v>0</v>
      </c>
      <c r="Z60" s="193">
        <v>0</v>
      </c>
      <c r="AA60" s="193">
        <v>285.17</v>
      </c>
      <c r="AB60" s="193">
        <v>103.47</v>
      </c>
      <c r="AC60" s="193">
        <v>15249.79</v>
      </c>
      <c r="AD60" s="193">
        <v>4005.44</v>
      </c>
      <c r="AE60" s="193">
        <v>1492.49</v>
      </c>
      <c r="AF60" s="193">
        <v>796.4</v>
      </c>
      <c r="AG60" s="193">
        <v>704.72</v>
      </c>
      <c r="AH60" s="193">
        <v>583.66</v>
      </c>
      <c r="AI60" s="193">
        <v>2795.88</v>
      </c>
      <c r="AJ60" s="193">
        <v>1368.1</v>
      </c>
      <c r="AK60" s="193">
        <v>0</v>
      </c>
      <c r="AL60" s="193">
        <v>1260.69</v>
      </c>
      <c r="AM60" s="193">
        <v>179.8</v>
      </c>
      <c r="AN60" s="193">
        <v>513.33000000000004</v>
      </c>
      <c r="AO60" s="193">
        <v>2424.2800000000002</v>
      </c>
      <c r="AP60" s="193">
        <v>6552.72</v>
      </c>
      <c r="AQ60" s="193">
        <v>457.05</v>
      </c>
      <c r="AR60" s="193">
        <v>0</v>
      </c>
      <c r="AS60" s="193">
        <v>0</v>
      </c>
      <c r="AT60" s="193">
        <v>0</v>
      </c>
      <c r="AU60" s="193">
        <v>0</v>
      </c>
      <c r="AV60" s="193">
        <v>0</v>
      </c>
      <c r="AW60" s="193">
        <v>0</v>
      </c>
      <c r="AX60" s="193">
        <v>0</v>
      </c>
      <c r="AY60" s="193">
        <v>0</v>
      </c>
      <c r="AZ60" s="193">
        <v>0</v>
      </c>
      <c r="BA60" s="193">
        <v>0</v>
      </c>
      <c r="BB60" s="193">
        <v>0</v>
      </c>
      <c r="BC60" s="193">
        <v>0</v>
      </c>
      <c r="BD60" s="193">
        <v>0</v>
      </c>
      <c r="BE60" s="193">
        <v>0</v>
      </c>
      <c r="BF60" s="193">
        <v>0</v>
      </c>
      <c r="BG60" s="193">
        <v>0</v>
      </c>
      <c r="BH60" s="193">
        <v>208865.81</v>
      </c>
    </row>
    <row r="61" spans="1:60">
      <c r="A61" s="191" t="s">
        <v>139</v>
      </c>
      <c r="B61" s="191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  <c r="AJ61" s="191"/>
      <c r="AK61" s="191"/>
      <c r="AL61" s="191"/>
      <c r="AM61" s="191"/>
      <c r="AN61" s="191"/>
      <c r="AO61" s="191"/>
      <c r="AP61" s="191"/>
      <c r="AQ61" s="191"/>
      <c r="AR61" s="191"/>
      <c r="AS61" s="191"/>
      <c r="AT61" s="191"/>
      <c r="AU61" s="191"/>
      <c r="AV61" s="191"/>
      <c r="AW61" s="191"/>
      <c r="AX61" s="191"/>
      <c r="AY61" s="191"/>
      <c r="AZ61" s="191"/>
      <c r="BA61" s="191"/>
      <c r="BB61" s="191"/>
      <c r="BC61" s="191"/>
      <c r="BD61" s="191"/>
      <c r="BE61" s="191"/>
      <c r="BF61" s="191"/>
      <c r="BG61" s="191"/>
      <c r="BH61" s="191"/>
    </row>
    <row r="62" spans="1:60">
      <c r="A62" s="187" t="s">
        <v>140</v>
      </c>
      <c r="B62" s="284">
        <v>0</v>
      </c>
      <c r="C62" s="284">
        <v>1625.4</v>
      </c>
      <c r="D62" s="284">
        <v>625.6</v>
      </c>
      <c r="E62" s="284">
        <v>0</v>
      </c>
      <c r="F62" s="284">
        <v>0</v>
      </c>
      <c r="G62" s="284">
        <v>226.59</v>
      </c>
      <c r="H62" s="284">
        <v>125.8</v>
      </c>
      <c r="I62" s="284">
        <v>597.55999999999995</v>
      </c>
      <c r="J62" s="284">
        <v>164.23</v>
      </c>
      <c r="K62" s="284">
        <v>338.82</v>
      </c>
      <c r="L62" s="284">
        <v>0</v>
      </c>
      <c r="M62" s="284">
        <v>0</v>
      </c>
      <c r="N62" s="284">
        <v>0</v>
      </c>
      <c r="O62" s="284">
        <v>0</v>
      </c>
      <c r="P62" s="284">
        <v>0</v>
      </c>
      <c r="Q62" s="284">
        <v>0</v>
      </c>
      <c r="R62" s="284">
        <v>0</v>
      </c>
      <c r="S62" s="284">
        <v>0</v>
      </c>
      <c r="T62" s="284">
        <v>0</v>
      </c>
      <c r="U62" s="284">
        <v>0</v>
      </c>
      <c r="V62" s="284">
        <v>0</v>
      </c>
      <c r="W62" s="284">
        <v>911.52</v>
      </c>
      <c r="X62" s="284">
        <v>112.02</v>
      </c>
      <c r="Y62" s="284">
        <v>0</v>
      </c>
      <c r="Z62" s="284">
        <v>0</v>
      </c>
      <c r="AA62" s="284">
        <v>0</v>
      </c>
      <c r="AB62" s="284">
        <v>0</v>
      </c>
      <c r="AC62" s="284">
        <v>611.22</v>
      </c>
      <c r="AD62" s="284">
        <v>0</v>
      </c>
      <c r="AE62" s="284">
        <v>167.68</v>
      </c>
      <c r="AF62" s="284">
        <v>0</v>
      </c>
      <c r="AG62" s="284">
        <v>0</v>
      </c>
      <c r="AH62" s="284">
        <v>0</v>
      </c>
      <c r="AI62" s="284">
        <v>0</v>
      </c>
      <c r="AJ62" s="284">
        <v>0</v>
      </c>
      <c r="AK62" s="284">
        <v>0</v>
      </c>
      <c r="AL62" s="284">
        <v>62.88</v>
      </c>
      <c r="AM62" s="284">
        <v>0</v>
      </c>
      <c r="AN62" s="284">
        <v>154.44</v>
      </c>
      <c r="AO62" s="284">
        <v>125.76</v>
      </c>
      <c r="AP62" s="284">
        <v>0</v>
      </c>
      <c r="AQ62" s="284">
        <v>83.81</v>
      </c>
      <c r="AR62" s="284">
        <v>0</v>
      </c>
      <c r="AS62" s="284">
        <v>0</v>
      </c>
      <c r="AT62" s="284">
        <v>0</v>
      </c>
      <c r="AU62" s="284">
        <v>0</v>
      </c>
      <c r="AV62" s="284">
        <v>0</v>
      </c>
      <c r="AW62" s="284">
        <v>0</v>
      </c>
      <c r="AX62" s="284">
        <v>0</v>
      </c>
      <c r="AY62" s="284">
        <v>0</v>
      </c>
      <c r="AZ62" s="284">
        <v>0</v>
      </c>
      <c r="BA62" s="284">
        <v>0</v>
      </c>
      <c r="BB62" s="284">
        <v>0</v>
      </c>
      <c r="BC62" s="284">
        <v>0</v>
      </c>
      <c r="BD62" s="284">
        <v>0</v>
      </c>
      <c r="BE62" s="284">
        <v>0</v>
      </c>
      <c r="BF62" s="284">
        <v>0</v>
      </c>
      <c r="BG62" s="284">
        <v>0</v>
      </c>
      <c r="BH62" s="284">
        <v>5996.21</v>
      </c>
    </row>
    <row r="63" spans="1:60">
      <c r="A63" s="187" t="s">
        <v>141</v>
      </c>
      <c r="B63" s="284">
        <v>0</v>
      </c>
      <c r="C63" s="284">
        <v>60.81</v>
      </c>
      <c r="D63" s="284">
        <v>34.61</v>
      </c>
      <c r="E63" s="284">
        <v>0</v>
      </c>
      <c r="F63" s="284">
        <v>7.86</v>
      </c>
      <c r="G63" s="284">
        <v>2.75</v>
      </c>
      <c r="H63" s="284">
        <v>9.81</v>
      </c>
      <c r="I63" s="284">
        <v>17.95</v>
      </c>
      <c r="J63" s="284">
        <v>33.29</v>
      </c>
      <c r="K63" s="284">
        <v>15.05</v>
      </c>
      <c r="L63" s="284">
        <v>2.71</v>
      </c>
      <c r="M63" s="284">
        <v>10.37</v>
      </c>
      <c r="N63" s="284">
        <v>18.79</v>
      </c>
      <c r="O63" s="284">
        <v>5.41</v>
      </c>
      <c r="P63" s="284">
        <v>1.1299999999999999</v>
      </c>
      <c r="Q63" s="284">
        <v>5.79</v>
      </c>
      <c r="R63" s="284">
        <v>0</v>
      </c>
      <c r="S63" s="284">
        <v>0</v>
      </c>
      <c r="T63" s="284">
        <v>11.5</v>
      </c>
      <c r="U63" s="284">
        <v>1.34</v>
      </c>
      <c r="V63" s="284">
        <v>6.96</v>
      </c>
      <c r="W63" s="284">
        <v>8.56</v>
      </c>
      <c r="X63" s="284">
        <v>24.49</v>
      </c>
      <c r="Y63" s="284">
        <v>0</v>
      </c>
      <c r="Z63" s="284">
        <v>0</v>
      </c>
      <c r="AA63" s="284">
        <v>0.48</v>
      </c>
      <c r="AB63" s="284">
        <v>0.18</v>
      </c>
      <c r="AC63" s="284">
        <v>26.98</v>
      </c>
      <c r="AD63" s="284">
        <v>6.85</v>
      </c>
      <c r="AE63" s="284">
        <v>2.17</v>
      </c>
      <c r="AF63" s="284">
        <v>1.26</v>
      </c>
      <c r="AG63" s="284">
        <v>1.07</v>
      </c>
      <c r="AH63" s="284">
        <v>0.86</v>
      </c>
      <c r="AI63" s="284">
        <v>4.55</v>
      </c>
      <c r="AJ63" s="284">
        <v>2.31</v>
      </c>
      <c r="AK63" s="284">
        <v>0</v>
      </c>
      <c r="AL63" s="284">
        <v>2.12</v>
      </c>
      <c r="AM63" s="284">
        <v>0.3</v>
      </c>
      <c r="AN63" s="284">
        <v>0</v>
      </c>
      <c r="AO63" s="284">
        <v>5.0599999999999996</v>
      </c>
      <c r="AP63" s="284">
        <v>15.44</v>
      </c>
      <c r="AQ63" s="284">
        <v>0</v>
      </c>
      <c r="AR63" s="284">
        <v>0</v>
      </c>
      <c r="AS63" s="284">
        <v>0</v>
      </c>
      <c r="AT63" s="284">
        <v>0</v>
      </c>
      <c r="AU63" s="284">
        <v>0</v>
      </c>
      <c r="AV63" s="284">
        <v>0</v>
      </c>
      <c r="AW63" s="284">
        <v>0</v>
      </c>
      <c r="AX63" s="284">
        <v>0</v>
      </c>
      <c r="AY63" s="284">
        <v>0</v>
      </c>
      <c r="AZ63" s="284">
        <v>0</v>
      </c>
      <c r="BA63" s="284">
        <v>0</v>
      </c>
      <c r="BB63" s="284">
        <v>0</v>
      </c>
      <c r="BC63" s="284">
        <v>0</v>
      </c>
      <c r="BD63" s="284">
        <v>0</v>
      </c>
      <c r="BE63" s="284">
        <v>0</v>
      </c>
      <c r="BF63" s="284">
        <v>0</v>
      </c>
      <c r="BG63" s="284">
        <v>0</v>
      </c>
      <c r="BH63" s="284">
        <v>353.1</v>
      </c>
    </row>
    <row r="64" spans="1:60">
      <c r="A64" s="187" t="s">
        <v>142</v>
      </c>
      <c r="B64" s="284">
        <v>0</v>
      </c>
      <c r="C64" s="284">
        <v>4279.16</v>
      </c>
      <c r="D64" s="284">
        <v>272.01</v>
      </c>
      <c r="E64" s="284">
        <v>55.09</v>
      </c>
      <c r="F64" s="284">
        <v>237.32</v>
      </c>
      <c r="G64" s="284">
        <v>90.13</v>
      </c>
      <c r="H64" s="284">
        <v>5113.41</v>
      </c>
      <c r="I64" s="284">
        <v>819.34</v>
      </c>
      <c r="J64" s="284">
        <v>1584.2</v>
      </c>
      <c r="K64" s="284">
        <v>708.05</v>
      </c>
      <c r="L64" s="284">
        <v>152.32</v>
      </c>
      <c r="M64" s="284">
        <v>329.03</v>
      </c>
      <c r="N64" s="284">
        <v>564.1</v>
      </c>
      <c r="O64" s="284">
        <v>179.31</v>
      </c>
      <c r="P64" s="284">
        <v>37.57</v>
      </c>
      <c r="Q64" s="284">
        <v>199.4</v>
      </c>
      <c r="R64" s="284">
        <v>0</v>
      </c>
      <c r="S64" s="284">
        <v>0</v>
      </c>
      <c r="T64" s="284">
        <v>1151.22</v>
      </c>
      <c r="U64" s="284">
        <v>14.41</v>
      </c>
      <c r="V64" s="284">
        <v>186.71</v>
      </c>
      <c r="W64" s="284">
        <v>346.8</v>
      </c>
      <c r="X64" s="284">
        <v>990.53</v>
      </c>
      <c r="Y64" s="284">
        <v>0</v>
      </c>
      <c r="Z64" s="284">
        <v>0</v>
      </c>
      <c r="AA64" s="284">
        <v>15.91</v>
      </c>
      <c r="AB64" s="284">
        <v>5.9</v>
      </c>
      <c r="AC64" s="284">
        <v>888.08</v>
      </c>
      <c r="AD64" s="284">
        <v>245.99</v>
      </c>
      <c r="AE64" s="284">
        <v>198.58</v>
      </c>
      <c r="AF64" s="284">
        <v>39.700000000000003</v>
      </c>
      <c r="AG64" s="284">
        <v>33.94</v>
      </c>
      <c r="AH64" s="284">
        <v>27.78</v>
      </c>
      <c r="AI64" s="284">
        <v>138.65</v>
      </c>
      <c r="AJ64" s="284">
        <v>68.459999999999994</v>
      </c>
      <c r="AK64" s="284">
        <v>0</v>
      </c>
      <c r="AL64" s="284">
        <v>62.96</v>
      </c>
      <c r="AM64" s="284">
        <v>9.17</v>
      </c>
      <c r="AN64" s="284">
        <v>2.86</v>
      </c>
      <c r="AO64" s="284">
        <v>248.31</v>
      </c>
      <c r="AP64" s="284">
        <v>937.38</v>
      </c>
      <c r="AQ64" s="284">
        <v>5.07</v>
      </c>
      <c r="AR64" s="284">
        <v>0</v>
      </c>
      <c r="AS64" s="284">
        <v>12.3</v>
      </c>
      <c r="AT64" s="284">
        <v>0</v>
      </c>
      <c r="AU64" s="284">
        <v>0</v>
      </c>
      <c r="AV64" s="284">
        <v>0</v>
      </c>
      <c r="AW64" s="284">
        <v>0</v>
      </c>
      <c r="AX64" s="284">
        <v>0</v>
      </c>
      <c r="AY64" s="284">
        <v>0</v>
      </c>
      <c r="AZ64" s="284">
        <v>0</v>
      </c>
      <c r="BA64" s="284">
        <v>0</v>
      </c>
      <c r="BB64" s="284">
        <v>0</v>
      </c>
      <c r="BC64" s="284">
        <v>0</v>
      </c>
      <c r="BD64" s="284">
        <v>0</v>
      </c>
      <c r="BE64" s="284">
        <v>0</v>
      </c>
      <c r="BF64" s="284">
        <v>0</v>
      </c>
      <c r="BG64" s="284">
        <v>0</v>
      </c>
      <c r="BH64" s="284">
        <v>20342.939999999999</v>
      </c>
    </row>
    <row r="65" spans="1:60">
      <c r="A65" s="192" t="s">
        <v>143</v>
      </c>
      <c r="B65" s="193">
        <v>0</v>
      </c>
      <c r="C65" s="193">
        <v>5965.37</v>
      </c>
      <c r="D65" s="193">
        <v>932.22</v>
      </c>
      <c r="E65" s="193">
        <v>55.09</v>
      </c>
      <c r="F65" s="193">
        <v>245.18</v>
      </c>
      <c r="G65" s="193">
        <v>319.47000000000003</v>
      </c>
      <c r="H65" s="193">
        <v>5249.02</v>
      </c>
      <c r="I65" s="193">
        <v>1434.85</v>
      </c>
      <c r="J65" s="193">
        <v>1781.72</v>
      </c>
      <c r="K65" s="193">
        <v>1061.92</v>
      </c>
      <c r="L65" s="193">
        <v>155.03</v>
      </c>
      <c r="M65" s="193">
        <v>339.4</v>
      </c>
      <c r="N65" s="193">
        <v>582.89</v>
      </c>
      <c r="O65" s="193">
        <v>184.72</v>
      </c>
      <c r="P65" s="193">
        <v>38.700000000000003</v>
      </c>
      <c r="Q65" s="193">
        <v>205.19</v>
      </c>
      <c r="R65" s="193">
        <v>0</v>
      </c>
      <c r="S65" s="193">
        <v>0</v>
      </c>
      <c r="T65" s="193">
        <v>1162.72</v>
      </c>
      <c r="U65" s="193">
        <v>15.75</v>
      </c>
      <c r="V65" s="193">
        <v>193.67</v>
      </c>
      <c r="W65" s="193">
        <v>1266.8800000000001</v>
      </c>
      <c r="X65" s="193">
        <v>1127.04</v>
      </c>
      <c r="Y65" s="193">
        <v>0</v>
      </c>
      <c r="Z65" s="193">
        <v>0</v>
      </c>
      <c r="AA65" s="193">
        <v>16.39</v>
      </c>
      <c r="AB65" s="193">
        <v>6.08</v>
      </c>
      <c r="AC65" s="193">
        <v>1526.28</v>
      </c>
      <c r="AD65" s="193">
        <v>252.84</v>
      </c>
      <c r="AE65" s="193">
        <v>368.43</v>
      </c>
      <c r="AF65" s="193">
        <v>40.96</v>
      </c>
      <c r="AG65" s="193">
        <v>35.01</v>
      </c>
      <c r="AH65" s="193">
        <v>28.64</v>
      </c>
      <c r="AI65" s="193">
        <v>143.19999999999999</v>
      </c>
      <c r="AJ65" s="193">
        <v>70.77</v>
      </c>
      <c r="AK65" s="193">
        <v>0</v>
      </c>
      <c r="AL65" s="193">
        <v>127.96</v>
      </c>
      <c r="AM65" s="193">
        <v>9.4700000000000006</v>
      </c>
      <c r="AN65" s="193">
        <v>157.30000000000001</v>
      </c>
      <c r="AO65" s="193">
        <v>379.13</v>
      </c>
      <c r="AP65" s="193">
        <v>952.82</v>
      </c>
      <c r="AQ65" s="193">
        <v>88.88</v>
      </c>
      <c r="AR65" s="193">
        <v>0</v>
      </c>
      <c r="AS65" s="193">
        <v>12.3</v>
      </c>
      <c r="AT65" s="193">
        <v>0</v>
      </c>
      <c r="AU65" s="193">
        <v>0</v>
      </c>
      <c r="AV65" s="193">
        <v>0</v>
      </c>
      <c r="AW65" s="193">
        <v>0</v>
      </c>
      <c r="AX65" s="193">
        <v>0</v>
      </c>
      <c r="AY65" s="193">
        <v>0</v>
      </c>
      <c r="AZ65" s="193">
        <v>0</v>
      </c>
      <c r="BA65" s="193">
        <v>0</v>
      </c>
      <c r="BB65" s="193">
        <v>0</v>
      </c>
      <c r="BC65" s="193">
        <v>0</v>
      </c>
      <c r="BD65" s="193">
        <v>0</v>
      </c>
      <c r="BE65" s="193">
        <v>0</v>
      </c>
      <c r="BF65" s="193">
        <v>0</v>
      </c>
      <c r="BG65" s="193">
        <v>0</v>
      </c>
      <c r="BH65" s="193">
        <v>26692.25</v>
      </c>
    </row>
    <row r="66" spans="1:60">
      <c r="A66" s="191" t="s">
        <v>144</v>
      </c>
      <c r="B66" s="191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  <c r="AK66" s="191"/>
      <c r="AL66" s="191"/>
      <c r="AM66" s="191"/>
      <c r="AN66" s="191"/>
      <c r="AO66" s="191"/>
      <c r="AP66" s="191"/>
      <c r="AQ66" s="191"/>
      <c r="AR66" s="191"/>
      <c r="AS66" s="191"/>
      <c r="AT66" s="191"/>
      <c r="AU66" s="191"/>
      <c r="AV66" s="191"/>
      <c r="AW66" s="191"/>
      <c r="AX66" s="191"/>
      <c r="AY66" s="191"/>
      <c r="AZ66" s="191"/>
      <c r="BA66" s="191"/>
      <c r="BB66" s="191"/>
      <c r="BC66" s="191"/>
      <c r="BD66" s="191"/>
      <c r="BE66" s="191"/>
      <c r="BF66" s="191"/>
      <c r="BG66" s="191"/>
      <c r="BH66" s="191"/>
    </row>
    <row r="67" spans="1:60">
      <c r="A67" s="187" t="s">
        <v>145</v>
      </c>
      <c r="B67" s="284">
        <v>0</v>
      </c>
      <c r="C67" s="284">
        <v>0</v>
      </c>
      <c r="D67" s="284">
        <v>0</v>
      </c>
      <c r="E67" s="284">
        <v>0</v>
      </c>
      <c r="F67" s="284">
        <v>0</v>
      </c>
      <c r="G67" s="284">
        <v>0</v>
      </c>
      <c r="H67" s="284">
        <v>0</v>
      </c>
      <c r="I67" s="284">
        <v>0</v>
      </c>
      <c r="J67" s="284">
        <v>0</v>
      </c>
      <c r="K67" s="284">
        <v>0</v>
      </c>
      <c r="L67" s="284">
        <v>0</v>
      </c>
      <c r="M67" s="284">
        <v>0</v>
      </c>
      <c r="N67" s="284">
        <v>90.42</v>
      </c>
      <c r="O67" s="284">
        <v>0</v>
      </c>
      <c r="P67" s="284">
        <v>0</v>
      </c>
      <c r="Q67" s="284">
        <v>0</v>
      </c>
      <c r="R67" s="284">
        <v>0</v>
      </c>
      <c r="S67" s="284">
        <v>0</v>
      </c>
      <c r="T67" s="284">
        <v>0</v>
      </c>
      <c r="U67" s="284">
        <v>0</v>
      </c>
      <c r="V67" s="284">
        <v>0</v>
      </c>
      <c r="W67" s="284">
        <v>0</v>
      </c>
      <c r="X67" s="284">
        <v>0</v>
      </c>
      <c r="Y67" s="284">
        <v>0</v>
      </c>
      <c r="Z67" s="284">
        <v>0</v>
      </c>
      <c r="AA67" s="284">
        <v>0</v>
      </c>
      <c r="AB67" s="284">
        <v>0</v>
      </c>
      <c r="AC67" s="284">
        <v>0</v>
      </c>
      <c r="AD67" s="284">
        <v>0</v>
      </c>
      <c r="AE67" s="284">
        <v>0</v>
      </c>
      <c r="AF67" s="284">
        <v>0</v>
      </c>
      <c r="AG67" s="284">
        <v>0</v>
      </c>
      <c r="AH67" s="284">
        <v>0</v>
      </c>
      <c r="AI67" s="284">
        <v>0</v>
      </c>
      <c r="AJ67" s="284">
        <v>0</v>
      </c>
      <c r="AK67" s="284">
        <v>0</v>
      </c>
      <c r="AL67" s="284">
        <v>0</v>
      </c>
      <c r="AM67" s="284">
        <v>0</v>
      </c>
      <c r="AN67" s="284">
        <v>0</v>
      </c>
      <c r="AO67" s="284">
        <v>0</v>
      </c>
      <c r="AP67" s="284">
        <v>0</v>
      </c>
      <c r="AQ67" s="284">
        <v>0</v>
      </c>
      <c r="AR67" s="284">
        <v>0</v>
      </c>
      <c r="AS67" s="284">
        <v>0</v>
      </c>
      <c r="AT67" s="284">
        <v>0</v>
      </c>
      <c r="AU67" s="284">
        <v>0</v>
      </c>
      <c r="AV67" s="284">
        <v>0</v>
      </c>
      <c r="AW67" s="284">
        <v>0</v>
      </c>
      <c r="AX67" s="284">
        <v>0</v>
      </c>
      <c r="AY67" s="284">
        <v>0</v>
      </c>
      <c r="AZ67" s="284">
        <v>0</v>
      </c>
      <c r="BA67" s="284">
        <v>0</v>
      </c>
      <c r="BB67" s="284">
        <v>0</v>
      </c>
      <c r="BC67" s="284">
        <v>0</v>
      </c>
      <c r="BD67" s="284">
        <v>0</v>
      </c>
      <c r="BE67" s="284">
        <v>0</v>
      </c>
      <c r="BF67" s="284">
        <v>0</v>
      </c>
      <c r="BG67" s="284">
        <v>0</v>
      </c>
      <c r="BH67" s="284">
        <v>90.42</v>
      </c>
    </row>
    <row r="68" spans="1:60">
      <c r="A68" s="187" t="s">
        <v>146</v>
      </c>
      <c r="B68" s="284">
        <v>0</v>
      </c>
      <c r="C68" s="284">
        <v>0.19</v>
      </c>
      <c r="D68" s="284">
        <v>0</v>
      </c>
      <c r="E68" s="284">
        <v>0</v>
      </c>
      <c r="F68" s="284">
        <v>0</v>
      </c>
      <c r="G68" s="284">
        <v>0</v>
      </c>
      <c r="H68" s="284">
        <v>155.30000000000001</v>
      </c>
      <c r="I68" s="284">
        <v>0</v>
      </c>
      <c r="J68" s="284">
        <v>0</v>
      </c>
      <c r="K68" s="284">
        <v>0</v>
      </c>
      <c r="L68" s="284">
        <v>0</v>
      </c>
      <c r="M68" s="284">
        <v>0</v>
      </c>
      <c r="N68" s="284">
        <v>0</v>
      </c>
      <c r="O68" s="284">
        <v>0</v>
      </c>
      <c r="P68" s="284">
        <v>0</v>
      </c>
      <c r="Q68" s="284">
        <v>0</v>
      </c>
      <c r="R68" s="284">
        <v>0</v>
      </c>
      <c r="S68" s="284">
        <v>0</v>
      </c>
      <c r="T68" s="284">
        <v>0</v>
      </c>
      <c r="U68" s="284">
        <v>0</v>
      </c>
      <c r="V68" s="284">
        <v>0</v>
      </c>
      <c r="W68" s="284">
        <v>0</v>
      </c>
      <c r="X68" s="284">
        <v>0</v>
      </c>
      <c r="Y68" s="284">
        <v>0</v>
      </c>
      <c r="Z68" s="284">
        <v>0</v>
      </c>
      <c r="AA68" s="284">
        <v>0</v>
      </c>
      <c r="AB68" s="284">
        <v>0</v>
      </c>
      <c r="AC68" s="284">
        <v>0</v>
      </c>
      <c r="AD68" s="284">
        <v>0</v>
      </c>
      <c r="AE68" s="284">
        <v>0</v>
      </c>
      <c r="AF68" s="284">
        <v>0</v>
      </c>
      <c r="AG68" s="284">
        <v>0</v>
      </c>
      <c r="AH68" s="284">
        <v>0</v>
      </c>
      <c r="AI68" s="284">
        <v>0</v>
      </c>
      <c r="AJ68" s="284">
        <v>0</v>
      </c>
      <c r="AK68" s="284">
        <v>0</v>
      </c>
      <c r="AL68" s="284">
        <v>0</v>
      </c>
      <c r="AM68" s="284">
        <v>0</v>
      </c>
      <c r="AN68" s="284">
        <v>0</v>
      </c>
      <c r="AO68" s="284">
        <v>0</v>
      </c>
      <c r="AP68" s="284">
        <v>0</v>
      </c>
      <c r="AQ68" s="284">
        <v>0</v>
      </c>
      <c r="AR68" s="284">
        <v>0</v>
      </c>
      <c r="AS68" s="284">
        <v>0</v>
      </c>
      <c r="AT68" s="284">
        <v>0</v>
      </c>
      <c r="AU68" s="284">
        <v>0</v>
      </c>
      <c r="AV68" s="284">
        <v>0</v>
      </c>
      <c r="AW68" s="284">
        <v>0</v>
      </c>
      <c r="AX68" s="284">
        <v>0</v>
      </c>
      <c r="AY68" s="284">
        <v>0</v>
      </c>
      <c r="AZ68" s="284">
        <v>0</v>
      </c>
      <c r="BA68" s="284">
        <v>0</v>
      </c>
      <c r="BB68" s="284">
        <v>0</v>
      </c>
      <c r="BC68" s="284">
        <v>0</v>
      </c>
      <c r="BD68" s="284">
        <v>0</v>
      </c>
      <c r="BE68" s="284">
        <v>0</v>
      </c>
      <c r="BF68" s="284">
        <v>0</v>
      </c>
      <c r="BG68" s="284">
        <v>0</v>
      </c>
      <c r="BH68" s="284">
        <v>155.49</v>
      </c>
    </row>
    <row r="69" spans="1:60">
      <c r="A69" s="192" t="s">
        <v>147</v>
      </c>
      <c r="B69" s="193">
        <v>0</v>
      </c>
      <c r="C69" s="193">
        <v>0.19</v>
      </c>
      <c r="D69" s="193">
        <v>0</v>
      </c>
      <c r="E69" s="193">
        <v>0</v>
      </c>
      <c r="F69" s="193">
        <v>0</v>
      </c>
      <c r="G69" s="193">
        <v>0</v>
      </c>
      <c r="H69" s="193">
        <v>155.30000000000001</v>
      </c>
      <c r="I69" s="193">
        <v>0</v>
      </c>
      <c r="J69" s="193">
        <v>0</v>
      </c>
      <c r="K69" s="193">
        <v>0</v>
      </c>
      <c r="L69" s="193">
        <v>0</v>
      </c>
      <c r="M69" s="193">
        <v>0</v>
      </c>
      <c r="N69" s="193">
        <v>90.42</v>
      </c>
      <c r="O69" s="193">
        <v>0</v>
      </c>
      <c r="P69" s="193">
        <v>0</v>
      </c>
      <c r="Q69" s="193">
        <v>0</v>
      </c>
      <c r="R69" s="193">
        <v>0</v>
      </c>
      <c r="S69" s="193">
        <v>0</v>
      </c>
      <c r="T69" s="193">
        <v>0</v>
      </c>
      <c r="U69" s="193">
        <v>0</v>
      </c>
      <c r="V69" s="193">
        <v>0</v>
      </c>
      <c r="W69" s="193">
        <v>0</v>
      </c>
      <c r="X69" s="193">
        <v>0</v>
      </c>
      <c r="Y69" s="193">
        <v>0</v>
      </c>
      <c r="Z69" s="193">
        <v>0</v>
      </c>
      <c r="AA69" s="193">
        <v>0</v>
      </c>
      <c r="AB69" s="193">
        <v>0</v>
      </c>
      <c r="AC69" s="193">
        <v>0</v>
      </c>
      <c r="AD69" s="193">
        <v>0</v>
      </c>
      <c r="AE69" s="193">
        <v>0</v>
      </c>
      <c r="AF69" s="193">
        <v>0</v>
      </c>
      <c r="AG69" s="193">
        <v>0</v>
      </c>
      <c r="AH69" s="193">
        <v>0</v>
      </c>
      <c r="AI69" s="193">
        <v>0</v>
      </c>
      <c r="AJ69" s="193">
        <v>0</v>
      </c>
      <c r="AK69" s="193">
        <v>0</v>
      </c>
      <c r="AL69" s="193">
        <v>0</v>
      </c>
      <c r="AM69" s="193">
        <v>0</v>
      </c>
      <c r="AN69" s="193">
        <v>0</v>
      </c>
      <c r="AO69" s="193">
        <v>0</v>
      </c>
      <c r="AP69" s="193">
        <v>0</v>
      </c>
      <c r="AQ69" s="193">
        <v>0</v>
      </c>
      <c r="AR69" s="193">
        <v>0</v>
      </c>
      <c r="AS69" s="193">
        <v>0</v>
      </c>
      <c r="AT69" s="193">
        <v>0</v>
      </c>
      <c r="AU69" s="193">
        <v>0</v>
      </c>
      <c r="AV69" s="193">
        <v>0</v>
      </c>
      <c r="AW69" s="193">
        <v>0</v>
      </c>
      <c r="AX69" s="193">
        <v>0</v>
      </c>
      <c r="AY69" s="193">
        <v>0</v>
      </c>
      <c r="AZ69" s="193">
        <v>0</v>
      </c>
      <c r="BA69" s="193">
        <v>0</v>
      </c>
      <c r="BB69" s="193">
        <v>0</v>
      </c>
      <c r="BC69" s="193">
        <v>0</v>
      </c>
      <c r="BD69" s="193">
        <v>0</v>
      </c>
      <c r="BE69" s="193">
        <v>0</v>
      </c>
      <c r="BF69" s="193">
        <v>0</v>
      </c>
      <c r="BG69" s="193">
        <v>0</v>
      </c>
      <c r="BH69" s="193">
        <v>245.91</v>
      </c>
    </row>
    <row r="70" spans="1:60">
      <c r="A70" s="191" t="s">
        <v>148</v>
      </c>
      <c r="B70" s="191"/>
      <c r="C70" s="191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1"/>
      <c r="AK70" s="191"/>
      <c r="AL70" s="191"/>
      <c r="AM70" s="191"/>
      <c r="AN70" s="191"/>
      <c r="AO70" s="191"/>
      <c r="AP70" s="191"/>
      <c r="AQ70" s="191"/>
      <c r="AR70" s="191"/>
      <c r="AS70" s="191"/>
      <c r="AT70" s="191"/>
      <c r="AU70" s="191"/>
      <c r="AV70" s="191"/>
      <c r="AW70" s="191"/>
      <c r="AX70" s="191"/>
      <c r="AY70" s="191"/>
      <c r="AZ70" s="191"/>
      <c r="BA70" s="191"/>
      <c r="BB70" s="191"/>
      <c r="BC70" s="191"/>
      <c r="BD70" s="191"/>
      <c r="BE70" s="191"/>
      <c r="BF70" s="191"/>
      <c r="BG70" s="191"/>
      <c r="BH70" s="191"/>
    </row>
    <row r="71" spans="1:60">
      <c r="A71" s="187" t="s">
        <v>149</v>
      </c>
      <c r="B71" s="284">
        <v>0</v>
      </c>
      <c r="C71" s="284">
        <v>398.74</v>
      </c>
      <c r="D71" s="284">
        <v>23.92</v>
      </c>
      <c r="E71" s="284">
        <v>6.67</v>
      </c>
      <c r="F71" s="284">
        <v>37.049999999999997</v>
      </c>
      <c r="G71" s="284">
        <v>19.61</v>
      </c>
      <c r="H71" s="284">
        <v>56.52</v>
      </c>
      <c r="I71" s="284">
        <v>99.54</v>
      </c>
      <c r="J71" s="284">
        <v>263.14999999999998</v>
      </c>
      <c r="K71" s="284">
        <v>111.12</v>
      </c>
      <c r="L71" s="284">
        <v>16.37</v>
      </c>
      <c r="M71" s="284">
        <v>57.34</v>
      </c>
      <c r="N71" s="284">
        <v>104.36</v>
      </c>
      <c r="O71" s="284">
        <v>31.91</v>
      </c>
      <c r="P71" s="284">
        <v>7.35</v>
      </c>
      <c r="Q71" s="284">
        <v>35.17</v>
      </c>
      <c r="R71" s="284">
        <v>0</v>
      </c>
      <c r="S71" s="284">
        <v>0</v>
      </c>
      <c r="T71" s="284">
        <v>122.46</v>
      </c>
      <c r="U71" s="284">
        <v>3.33</v>
      </c>
      <c r="V71" s="284">
        <v>40.340000000000003</v>
      </c>
      <c r="W71" s="284">
        <v>45.73</v>
      </c>
      <c r="X71" s="284">
        <v>232.78</v>
      </c>
      <c r="Y71" s="284">
        <v>0</v>
      </c>
      <c r="Z71" s="284">
        <v>0</v>
      </c>
      <c r="AA71" s="284">
        <v>3.77</v>
      </c>
      <c r="AB71" s="284">
        <v>1.37</v>
      </c>
      <c r="AC71" s="284">
        <v>148.28</v>
      </c>
      <c r="AD71" s="284">
        <v>34.43</v>
      </c>
      <c r="AE71" s="284">
        <v>15.15</v>
      </c>
      <c r="AF71" s="284">
        <v>8.15</v>
      </c>
      <c r="AG71" s="284">
        <v>7.25</v>
      </c>
      <c r="AH71" s="284">
        <v>5.69</v>
      </c>
      <c r="AI71" s="284">
        <v>29.37</v>
      </c>
      <c r="AJ71" s="284">
        <v>15.27</v>
      </c>
      <c r="AK71" s="284">
        <v>0</v>
      </c>
      <c r="AL71" s="284">
        <v>16.95</v>
      </c>
      <c r="AM71" s="284">
        <v>2.31</v>
      </c>
      <c r="AN71" s="284">
        <v>5.25</v>
      </c>
      <c r="AO71" s="284">
        <v>27.66</v>
      </c>
      <c r="AP71" s="284">
        <v>91.18</v>
      </c>
      <c r="AQ71" s="284">
        <v>5.76</v>
      </c>
      <c r="AR71" s="284">
        <v>0</v>
      </c>
      <c r="AS71" s="284">
        <v>0</v>
      </c>
      <c r="AT71" s="284">
        <v>0</v>
      </c>
      <c r="AU71" s="284">
        <v>0</v>
      </c>
      <c r="AV71" s="284">
        <v>0</v>
      </c>
      <c r="AW71" s="284">
        <v>0</v>
      </c>
      <c r="AX71" s="284">
        <v>0</v>
      </c>
      <c r="AY71" s="284">
        <v>0</v>
      </c>
      <c r="AZ71" s="284">
        <v>0</v>
      </c>
      <c r="BA71" s="284">
        <v>0</v>
      </c>
      <c r="BB71" s="284">
        <v>0</v>
      </c>
      <c r="BC71" s="284">
        <v>0</v>
      </c>
      <c r="BD71" s="284">
        <v>0</v>
      </c>
      <c r="BE71" s="284">
        <v>0</v>
      </c>
      <c r="BF71" s="284">
        <v>0</v>
      </c>
      <c r="BG71" s="284">
        <v>0</v>
      </c>
      <c r="BH71" s="284">
        <v>2144.21</v>
      </c>
    </row>
    <row r="72" spans="1:60">
      <c r="A72" s="187" t="s">
        <v>150</v>
      </c>
      <c r="B72" s="284">
        <v>0</v>
      </c>
      <c r="C72" s="284">
        <v>399.79</v>
      </c>
      <c r="D72" s="284">
        <v>94.75</v>
      </c>
      <c r="E72" s="284">
        <v>33.479999999999997</v>
      </c>
      <c r="F72" s="284">
        <v>69</v>
      </c>
      <c r="G72" s="284">
        <v>38.520000000000003</v>
      </c>
      <c r="H72" s="284">
        <v>108.16</v>
      </c>
      <c r="I72" s="284">
        <v>189.05</v>
      </c>
      <c r="J72" s="284">
        <v>502.9</v>
      </c>
      <c r="K72" s="284">
        <v>213.46</v>
      </c>
      <c r="L72" s="284">
        <v>31.37</v>
      </c>
      <c r="M72" s="284">
        <v>106.01</v>
      </c>
      <c r="N72" s="284">
        <v>194.81</v>
      </c>
      <c r="O72" s="284">
        <v>60.55</v>
      </c>
      <c r="P72" s="284">
        <v>14.44</v>
      </c>
      <c r="Q72" s="284">
        <v>67.7</v>
      </c>
      <c r="R72" s="284">
        <v>0</v>
      </c>
      <c r="S72" s="284">
        <v>0</v>
      </c>
      <c r="T72" s="284">
        <v>192.99</v>
      </c>
      <c r="U72" s="284">
        <v>3.99</v>
      </c>
      <c r="V72" s="284">
        <v>60.87</v>
      </c>
      <c r="W72" s="284">
        <v>66.16</v>
      </c>
      <c r="X72" s="284">
        <v>839.6</v>
      </c>
      <c r="Y72" s="284">
        <v>0</v>
      </c>
      <c r="Z72" s="284">
        <v>0</v>
      </c>
      <c r="AA72" s="284">
        <v>7.46</v>
      </c>
      <c r="AB72" s="284">
        <v>2.75</v>
      </c>
      <c r="AC72" s="284">
        <v>294.93</v>
      </c>
      <c r="AD72" s="284">
        <v>68.02</v>
      </c>
      <c r="AE72" s="284">
        <v>25.87</v>
      </c>
      <c r="AF72" s="284">
        <v>14.98</v>
      </c>
      <c r="AG72" s="284">
        <v>12.95</v>
      </c>
      <c r="AH72" s="284">
        <v>9.9600000000000009</v>
      </c>
      <c r="AI72" s="284">
        <v>54.6</v>
      </c>
      <c r="AJ72" s="284">
        <v>28.56</v>
      </c>
      <c r="AK72" s="284">
        <v>0</v>
      </c>
      <c r="AL72" s="284">
        <v>24.82</v>
      </c>
      <c r="AM72" s="284">
        <v>4.43</v>
      </c>
      <c r="AN72" s="284">
        <v>10.09</v>
      </c>
      <c r="AO72" s="284">
        <v>58.95</v>
      </c>
      <c r="AP72" s="284">
        <v>188.81</v>
      </c>
      <c r="AQ72" s="284">
        <v>0</v>
      </c>
      <c r="AR72" s="284">
        <v>0</v>
      </c>
      <c r="AS72" s="284">
        <v>0</v>
      </c>
      <c r="AT72" s="284">
        <v>0</v>
      </c>
      <c r="AU72" s="284">
        <v>0</v>
      </c>
      <c r="AV72" s="284">
        <v>0</v>
      </c>
      <c r="AW72" s="284">
        <v>0</v>
      </c>
      <c r="AX72" s="284">
        <v>0</v>
      </c>
      <c r="AY72" s="284">
        <v>0</v>
      </c>
      <c r="AZ72" s="284">
        <v>0</v>
      </c>
      <c r="BA72" s="284">
        <v>0</v>
      </c>
      <c r="BB72" s="284">
        <v>0</v>
      </c>
      <c r="BC72" s="284">
        <v>0</v>
      </c>
      <c r="BD72" s="284">
        <v>0</v>
      </c>
      <c r="BE72" s="284">
        <v>0</v>
      </c>
      <c r="BF72" s="284">
        <v>0</v>
      </c>
      <c r="BG72" s="284">
        <v>0</v>
      </c>
      <c r="BH72" s="284">
        <v>4119.54</v>
      </c>
    </row>
    <row r="73" spans="1:60">
      <c r="A73" s="187" t="s">
        <v>252</v>
      </c>
      <c r="B73" s="284">
        <v>0</v>
      </c>
      <c r="C73" s="284">
        <v>1242.42</v>
      </c>
      <c r="D73" s="284">
        <v>27.98</v>
      </c>
      <c r="E73" s="284">
        <v>0</v>
      </c>
      <c r="F73" s="284">
        <v>124.07</v>
      </c>
      <c r="G73" s="284">
        <v>66.23</v>
      </c>
      <c r="H73" s="284">
        <v>194.35</v>
      </c>
      <c r="I73" s="284">
        <v>343.98</v>
      </c>
      <c r="J73" s="284">
        <v>905.99</v>
      </c>
      <c r="K73" s="284">
        <v>381.33</v>
      </c>
      <c r="L73" s="284">
        <v>56.36</v>
      </c>
      <c r="M73" s="284">
        <v>201.33</v>
      </c>
      <c r="N73" s="284">
        <v>364.4</v>
      </c>
      <c r="O73" s="284">
        <v>110.36</v>
      </c>
      <c r="P73" s="284">
        <v>24.91</v>
      </c>
      <c r="Q73" s="284">
        <v>120.51</v>
      </c>
      <c r="R73" s="284">
        <v>0</v>
      </c>
      <c r="S73" s="284">
        <v>0</v>
      </c>
      <c r="T73" s="284">
        <v>428.78</v>
      </c>
      <c r="U73" s="284">
        <v>14.06</v>
      </c>
      <c r="V73" s="284">
        <v>163.01</v>
      </c>
      <c r="W73" s="284">
        <v>180.95</v>
      </c>
      <c r="X73" s="284">
        <v>855.62</v>
      </c>
      <c r="Y73" s="284">
        <v>0</v>
      </c>
      <c r="Z73" s="284">
        <v>0</v>
      </c>
      <c r="AA73" s="284">
        <v>12.6</v>
      </c>
      <c r="AB73" s="284">
        <v>4.57</v>
      </c>
      <c r="AC73" s="284">
        <v>497.54</v>
      </c>
      <c r="AD73" s="284">
        <v>116.07</v>
      </c>
      <c r="AE73" s="284">
        <v>55.59</v>
      </c>
      <c r="AF73" s="284">
        <v>28.74</v>
      </c>
      <c r="AG73" s="284">
        <v>25.96</v>
      </c>
      <c r="AH73" s="284">
        <v>20.63</v>
      </c>
      <c r="AI73" s="284">
        <v>102.71</v>
      </c>
      <c r="AJ73" s="284">
        <v>53.2</v>
      </c>
      <c r="AK73" s="284">
        <v>0</v>
      </c>
      <c r="AL73" s="284">
        <v>66.790000000000006</v>
      </c>
      <c r="AM73" s="284">
        <v>7.95</v>
      </c>
      <c r="AN73" s="284">
        <v>18.010000000000002</v>
      </c>
      <c r="AO73" s="284">
        <v>88.39</v>
      </c>
      <c r="AP73" s="284">
        <v>291.60000000000002</v>
      </c>
      <c r="AQ73" s="284">
        <v>32.06</v>
      </c>
      <c r="AR73" s="284">
        <v>0</v>
      </c>
      <c r="AS73" s="284">
        <v>0</v>
      </c>
      <c r="AT73" s="284">
        <v>0</v>
      </c>
      <c r="AU73" s="284">
        <v>0</v>
      </c>
      <c r="AV73" s="284">
        <v>0</v>
      </c>
      <c r="AW73" s="284">
        <v>0</v>
      </c>
      <c r="AX73" s="284">
        <v>0</v>
      </c>
      <c r="AY73" s="284">
        <v>0</v>
      </c>
      <c r="AZ73" s="284">
        <v>0</v>
      </c>
      <c r="BA73" s="284">
        <v>0</v>
      </c>
      <c r="BB73" s="284">
        <v>0</v>
      </c>
      <c r="BC73" s="284">
        <v>0</v>
      </c>
      <c r="BD73" s="284">
        <v>0</v>
      </c>
      <c r="BE73" s="284">
        <v>0</v>
      </c>
      <c r="BF73" s="284">
        <v>0</v>
      </c>
      <c r="BG73" s="284">
        <v>0</v>
      </c>
      <c r="BH73" s="284">
        <v>7273.41</v>
      </c>
    </row>
    <row r="74" spans="1:60">
      <c r="A74" s="187" t="s">
        <v>253</v>
      </c>
      <c r="B74" s="284">
        <v>0</v>
      </c>
      <c r="C74" s="284">
        <v>0</v>
      </c>
      <c r="D74" s="284">
        <v>0</v>
      </c>
      <c r="E74" s="284">
        <v>0</v>
      </c>
      <c r="F74" s="284">
        <v>0</v>
      </c>
      <c r="G74" s="284">
        <v>0</v>
      </c>
      <c r="H74" s="284">
        <v>0</v>
      </c>
      <c r="I74" s="284">
        <v>0</v>
      </c>
      <c r="J74" s="284">
        <v>0</v>
      </c>
      <c r="K74" s="284">
        <v>0</v>
      </c>
      <c r="L74" s="284">
        <v>0</v>
      </c>
      <c r="M74" s="284">
        <v>0</v>
      </c>
      <c r="N74" s="284">
        <v>1172.8399999999999</v>
      </c>
      <c r="O74" s="284">
        <v>0</v>
      </c>
      <c r="P74" s="284">
        <v>0</v>
      </c>
      <c r="Q74" s="284">
        <v>0</v>
      </c>
      <c r="R74" s="284">
        <v>0</v>
      </c>
      <c r="S74" s="284">
        <v>0</v>
      </c>
      <c r="T74" s="284">
        <v>0</v>
      </c>
      <c r="U74" s="284">
        <v>0</v>
      </c>
      <c r="V74" s="284">
        <v>0</v>
      </c>
      <c r="W74" s="284">
        <v>0</v>
      </c>
      <c r="X74" s="284">
        <v>0</v>
      </c>
      <c r="Y74" s="284">
        <v>0</v>
      </c>
      <c r="Z74" s="284">
        <v>0</v>
      </c>
      <c r="AA74" s="284">
        <v>0</v>
      </c>
      <c r="AB74" s="284">
        <v>0</v>
      </c>
      <c r="AC74" s="284">
        <v>0</v>
      </c>
      <c r="AD74" s="284">
        <v>0</v>
      </c>
      <c r="AE74" s="284">
        <v>0</v>
      </c>
      <c r="AF74" s="284">
        <v>0</v>
      </c>
      <c r="AG74" s="284">
        <v>0</v>
      </c>
      <c r="AH74" s="284">
        <v>0</v>
      </c>
      <c r="AI74" s="284">
        <v>0</v>
      </c>
      <c r="AJ74" s="284">
        <v>0</v>
      </c>
      <c r="AK74" s="284">
        <v>0</v>
      </c>
      <c r="AL74" s="284">
        <v>0</v>
      </c>
      <c r="AM74" s="284">
        <v>0</v>
      </c>
      <c r="AN74" s="284">
        <v>0</v>
      </c>
      <c r="AO74" s="284">
        <v>0</v>
      </c>
      <c r="AP74" s="284">
        <v>0</v>
      </c>
      <c r="AQ74" s="284">
        <v>0</v>
      </c>
      <c r="AR74" s="284">
        <v>0</v>
      </c>
      <c r="AS74" s="284">
        <v>0</v>
      </c>
      <c r="AT74" s="284">
        <v>0</v>
      </c>
      <c r="AU74" s="284">
        <v>0</v>
      </c>
      <c r="AV74" s="284">
        <v>0</v>
      </c>
      <c r="AW74" s="284">
        <v>0</v>
      </c>
      <c r="AX74" s="284">
        <v>0</v>
      </c>
      <c r="AY74" s="284">
        <v>0</v>
      </c>
      <c r="AZ74" s="284">
        <v>0</v>
      </c>
      <c r="BA74" s="284">
        <v>0</v>
      </c>
      <c r="BB74" s="284">
        <v>0</v>
      </c>
      <c r="BC74" s="284">
        <v>0</v>
      </c>
      <c r="BD74" s="284">
        <v>0</v>
      </c>
      <c r="BE74" s="284">
        <v>0</v>
      </c>
      <c r="BF74" s="284">
        <v>0</v>
      </c>
      <c r="BG74" s="284">
        <v>0</v>
      </c>
      <c r="BH74" s="284">
        <v>1172.8399999999999</v>
      </c>
    </row>
    <row r="75" spans="1:60">
      <c r="A75" s="187" t="s">
        <v>254</v>
      </c>
      <c r="B75" s="284">
        <v>0</v>
      </c>
      <c r="C75" s="284">
        <v>178.94</v>
      </c>
      <c r="D75" s="284">
        <v>2.1800000000000002</v>
      </c>
      <c r="E75" s="284">
        <v>0</v>
      </c>
      <c r="F75" s="284">
        <v>9.59</v>
      </c>
      <c r="G75" s="284">
        <v>5.0999999999999996</v>
      </c>
      <c r="H75" s="284">
        <v>15</v>
      </c>
      <c r="I75" s="284">
        <v>26.55</v>
      </c>
      <c r="J75" s="284">
        <v>69.7</v>
      </c>
      <c r="K75" s="284">
        <v>29.35</v>
      </c>
      <c r="L75" s="284">
        <v>4.3600000000000003</v>
      </c>
      <c r="M75" s="284">
        <v>15.53</v>
      </c>
      <c r="N75" s="284">
        <v>28.13</v>
      </c>
      <c r="O75" s="284">
        <v>8.51</v>
      </c>
      <c r="P75" s="284">
        <v>1.91</v>
      </c>
      <c r="Q75" s="284">
        <v>9.3000000000000007</v>
      </c>
      <c r="R75" s="284">
        <v>0</v>
      </c>
      <c r="S75" s="284">
        <v>0</v>
      </c>
      <c r="T75" s="284">
        <v>35.99</v>
      </c>
      <c r="U75" s="284">
        <v>1.0900000000000001</v>
      </c>
      <c r="V75" s="284">
        <v>12.49</v>
      </c>
      <c r="W75" s="284">
        <v>13.96</v>
      </c>
      <c r="X75" s="284">
        <v>68.89</v>
      </c>
      <c r="Y75" s="284">
        <v>0</v>
      </c>
      <c r="Z75" s="284">
        <v>0</v>
      </c>
      <c r="AA75" s="284">
        <v>0.97</v>
      </c>
      <c r="AB75" s="284">
        <v>0.35</v>
      </c>
      <c r="AC75" s="284">
        <v>38.409999999999997</v>
      </c>
      <c r="AD75" s="284">
        <v>8.98</v>
      </c>
      <c r="AE75" s="284">
        <v>4.3</v>
      </c>
      <c r="AF75" s="284">
        <v>2.2200000000000002</v>
      </c>
      <c r="AG75" s="284">
        <v>2.0099999999999998</v>
      </c>
      <c r="AH75" s="284">
        <v>1.59</v>
      </c>
      <c r="AI75" s="284">
        <v>7.91</v>
      </c>
      <c r="AJ75" s="284">
        <v>4.09</v>
      </c>
      <c r="AK75" s="284">
        <v>0</v>
      </c>
      <c r="AL75" s="284">
        <v>5.16</v>
      </c>
      <c r="AM75" s="284">
        <v>0.6</v>
      </c>
      <c r="AN75" s="284">
        <v>1.4</v>
      </c>
      <c r="AO75" s="284">
        <v>6.8</v>
      </c>
      <c r="AP75" s="284">
        <v>22.75</v>
      </c>
      <c r="AQ75" s="284">
        <v>2.46</v>
      </c>
      <c r="AR75" s="284">
        <v>0</v>
      </c>
      <c r="AS75" s="284">
        <v>0</v>
      </c>
      <c r="AT75" s="284">
        <v>0</v>
      </c>
      <c r="AU75" s="284">
        <v>0</v>
      </c>
      <c r="AV75" s="284">
        <v>0</v>
      </c>
      <c r="AW75" s="284">
        <v>0</v>
      </c>
      <c r="AX75" s="284">
        <v>0</v>
      </c>
      <c r="AY75" s="284">
        <v>0</v>
      </c>
      <c r="AZ75" s="284">
        <v>0</v>
      </c>
      <c r="BA75" s="284">
        <v>0</v>
      </c>
      <c r="BB75" s="284">
        <v>0</v>
      </c>
      <c r="BC75" s="284">
        <v>0</v>
      </c>
      <c r="BD75" s="284">
        <v>0</v>
      </c>
      <c r="BE75" s="284">
        <v>0</v>
      </c>
      <c r="BF75" s="284">
        <v>0</v>
      </c>
      <c r="BG75" s="284">
        <v>0</v>
      </c>
      <c r="BH75" s="284">
        <v>650.03</v>
      </c>
    </row>
    <row r="76" spans="1:60">
      <c r="A76" s="187" t="s">
        <v>151</v>
      </c>
      <c r="B76" s="284">
        <v>0</v>
      </c>
      <c r="C76" s="284">
        <v>1106.31</v>
      </c>
      <c r="D76" s="284">
        <v>119.33</v>
      </c>
      <c r="E76" s="284">
        <v>42.16</v>
      </c>
      <c r="F76" s="284">
        <v>86.89</v>
      </c>
      <c r="G76" s="284">
        <v>48.51</v>
      </c>
      <c r="H76" s="284">
        <v>136.22999999999999</v>
      </c>
      <c r="I76" s="284">
        <v>238.09</v>
      </c>
      <c r="J76" s="284">
        <v>633.33000000000004</v>
      </c>
      <c r="K76" s="284">
        <v>268.83</v>
      </c>
      <c r="L76" s="284">
        <v>39.49</v>
      </c>
      <c r="M76" s="284">
        <v>133.5</v>
      </c>
      <c r="N76" s="284">
        <v>245.31</v>
      </c>
      <c r="O76" s="284">
        <v>76.260000000000005</v>
      </c>
      <c r="P76" s="284">
        <v>18.190000000000001</v>
      </c>
      <c r="Q76" s="284">
        <v>85.27</v>
      </c>
      <c r="R76" s="284">
        <v>0</v>
      </c>
      <c r="S76" s="284">
        <v>0</v>
      </c>
      <c r="T76" s="284">
        <v>243.05</v>
      </c>
      <c r="U76" s="284">
        <v>5.03</v>
      </c>
      <c r="V76" s="284">
        <v>80.45</v>
      </c>
      <c r="W76" s="284">
        <v>83.34</v>
      </c>
      <c r="X76" s="284">
        <v>454.43</v>
      </c>
      <c r="Y76" s="284">
        <v>0</v>
      </c>
      <c r="Z76" s="284">
        <v>0</v>
      </c>
      <c r="AA76" s="284">
        <v>9.4</v>
      </c>
      <c r="AB76" s="284">
        <v>3.47</v>
      </c>
      <c r="AC76" s="284">
        <v>371.44</v>
      </c>
      <c r="AD76" s="284">
        <v>85.66</v>
      </c>
      <c r="AE76" s="284">
        <v>32.590000000000003</v>
      </c>
      <c r="AF76" s="284">
        <v>18.88</v>
      </c>
      <c r="AG76" s="284">
        <v>16.3</v>
      </c>
      <c r="AH76" s="284">
        <v>12.56</v>
      </c>
      <c r="AI76" s="284">
        <v>68.77</v>
      </c>
      <c r="AJ76" s="284">
        <v>35.96</v>
      </c>
      <c r="AK76" s="284">
        <v>0</v>
      </c>
      <c r="AL76" s="284">
        <v>31.26</v>
      </c>
      <c r="AM76" s="284">
        <v>5.56</v>
      </c>
      <c r="AN76" s="284">
        <v>12.71</v>
      </c>
      <c r="AO76" s="284">
        <v>74.239999999999995</v>
      </c>
      <c r="AP76" s="284">
        <v>233.98</v>
      </c>
      <c r="AQ76" s="284">
        <v>0</v>
      </c>
      <c r="AR76" s="284">
        <v>0</v>
      </c>
      <c r="AS76" s="284">
        <v>0</v>
      </c>
      <c r="AT76" s="284">
        <v>0</v>
      </c>
      <c r="AU76" s="284">
        <v>0</v>
      </c>
      <c r="AV76" s="284">
        <v>0</v>
      </c>
      <c r="AW76" s="284">
        <v>0</v>
      </c>
      <c r="AX76" s="284">
        <v>0</v>
      </c>
      <c r="AY76" s="284">
        <v>0</v>
      </c>
      <c r="AZ76" s="284">
        <v>0</v>
      </c>
      <c r="BA76" s="284">
        <v>0</v>
      </c>
      <c r="BB76" s="284">
        <v>0</v>
      </c>
      <c r="BC76" s="284">
        <v>0</v>
      </c>
      <c r="BD76" s="284">
        <v>0</v>
      </c>
      <c r="BE76" s="284">
        <v>0</v>
      </c>
      <c r="BF76" s="284">
        <v>0</v>
      </c>
      <c r="BG76" s="284">
        <v>0</v>
      </c>
      <c r="BH76" s="284">
        <v>5187.96</v>
      </c>
    </row>
    <row r="77" spans="1:60">
      <c r="A77" s="187" t="s">
        <v>152</v>
      </c>
      <c r="B77" s="284">
        <v>0</v>
      </c>
      <c r="C77" s="284">
        <v>218.19</v>
      </c>
      <c r="D77" s="284">
        <v>25.91</v>
      </c>
      <c r="E77" s="284">
        <v>8.5399999999999991</v>
      </c>
      <c r="F77" s="284">
        <v>16.95</v>
      </c>
      <c r="G77" s="284">
        <v>9.65</v>
      </c>
      <c r="H77" s="284">
        <v>26.91</v>
      </c>
      <c r="I77" s="284">
        <v>47.02</v>
      </c>
      <c r="J77" s="284">
        <v>126.82</v>
      </c>
      <c r="K77" s="284">
        <v>53.71</v>
      </c>
      <c r="L77" s="284">
        <v>7.83</v>
      </c>
      <c r="M77" s="284">
        <v>26.18</v>
      </c>
      <c r="N77" s="284">
        <v>48.18</v>
      </c>
      <c r="O77" s="284">
        <v>15.06</v>
      </c>
      <c r="P77" s="284">
        <v>3.6</v>
      </c>
      <c r="Q77" s="284">
        <v>16.88</v>
      </c>
      <c r="R77" s="284">
        <v>0</v>
      </c>
      <c r="S77" s="284">
        <v>0</v>
      </c>
      <c r="T77" s="284">
        <v>47.61</v>
      </c>
      <c r="U77" s="284">
        <v>0.95</v>
      </c>
      <c r="V77" s="284">
        <v>15.1</v>
      </c>
      <c r="W77" s="284">
        <v>16.32</v>
      </c>
      <c r="X77" s="284">
        <v>88.83</v>
      </c>
      <c r="Y77" s="284">
        <v>0</v>
      </c>
      <c r="Z77" s="284">
        <v>0</v>
      </c>
      <c r="AA77" s="284">
        <v>1.87</v>
      </c>
      <c r="AB77" s="284">
        <v>0.69</v>
      </c>
      <c r="AC77" s="284">
        <v>73.069999999999993</v>
      </c>
      <c r="AD77" s="284">
        <v>16.82</v>
      </c>
      <c r="AE77" s="284">
        <v>6.45</v>
      </c>
      <c r="AF77" s="284">
        <v>3.73</v>
      </c>
      <c r="AG77" s="284">
        <v>3.23</v>
      </c>
      <c r="AH77" s="284">
        <v>2.4900000000000002</v>
      </c>
      <c r="AI77" s="284">
        <v>13.51</v>
      </c>
      <c r="AJ77" s="284">
        <v>7.07</v>
      </c>
      <c r="AK77" s="284">
        <v>0</v>
      </c>
      <c r="AL77" s="284">
        <v>6.34</v>
      </c>
      <c r="AM77" s="284">
        <v>1.1200000000000001</v>
      </c>
      <c r="AN77" s="284">
        <v>2.76</v>
      </c>
      <c r="AO77" s="284">
        <v>14.34</v>
      </c>
      <c r="AP77" s="284">
        <v>47.54</v>
      </c>
      <c r="AQ77" s="284">
        <v>0</v>
      </c>
      <c r="AR77" s="284">
        <v>0</v>
      </c>
      <c r="AS77" s="284">
        <v>0</v>
      </c>
      <c r="AT77" s="284">
        <v>0</v>
      </c>
      <c r="AU77" s="284">
        <v>0</v>
      </c>
      <c r="AV77" s="284">
        <v>0</v>
      </c>
      <c r="AW77" s="284">
        <v>0</v>
      </c>
      <c r="AX77" s="284">
        <v>0</v>
      </c>
      <c r="AY77" s="284">
        <v>0</v>
      </c>
      <c r="AZ77" s="284">
        <v>0</v>
      </c>
      <c r="BA77" s="284">
        <v>0</v>
      </c>
      <c r="BB77" s="284">
        <v>0</v>
      </c>
      <c r="BC77" s="284">
        <v>0</v>
      </c>
      <c r="BD77" s="284">
        <v>0</v>
      </c>
      <c r="BE77" s="284">
        <v>0</v>
      </c>
      <c r="BF77" s="284">
        <v>0</v>
      </c>
      <c r="BG77" s="284">
        <v>0</v>
      </c>
      <c r="BH77" s="284">
        <v>1027.1400000000001</v>
      </c>
    </row>
    <row r="78" spans="1:60">
      <c r="A78" s="187" t="s">
        <v>153</v>
      </c>
      <c r="B78" s="284">
        <v>0</v>
      </c>
      <c r="C78" s="284">
        <v>533</v>
      </c>
      <c r="D78" s="284">
        <v>57.47</v>
      </c>
      <c r="E78" s="284">
        <v>20.309999999999999</v>
      </c>
      <c r="F78" s="284">
        <v>41.85</v>
      </c>
      <c r="G78" s="284">
        <v>23.36</v>
      </c>
      <c r="H78" s="284">
        <v>65.62</v>
      </c>
      <c r="I78" s="284">
        <v>114.7</v>
      </c>
      <c r="J78" s="284">
        <v>305.08</v>
      </c>
      <c r="K78" s="284">
        <v>129.49</v>
      </c>
      <c r="L78" s="284">
        <v>19.03</v>
      </c>
      <c r="M78" s="284">
        <v>64.28</v>
      </c>
      <c r="N78" s="284">
        <v>118.17</v>
      </c>
      <c r="O78" s="284">
        <v>36.72</v>
      </c>
      <c r="P78" s="284">
        <v>8.76</v>
      </c>
      <c r="Q78" s="284">
        <v>41.07</v>
      </c>
      <c r="R78" s="284">
        <v>0</v>
      </c>
      <c r="S78" s="284">
        <v>0</v>
      </c>
      <c r="T78" s="284">
        <v>117.07</v>
      </c>
      <c r="U78" s="284">
        <v>2.42</v>
      </c>
      <c r="V78" s="284">
        <v>37.380000000000003</v>
      </c>
      <c r="W78" s="284">
        <v>40.14</v>
      </c>
      <c r="X78" s="284">
        <v>218.88</v>
      </c>
      <c r="Y78" s="284">
        <v>0</v>
      </c>
      <c r="Z78" s="284">
        <v>0</v>
      </c>
      <c r="AA78" s="284">
        <v>4.51</v>
      </c>
      <c r="AB78" s="284">
        <v>1.67</v>
      </c>
      <c r="AC78" s="284">
        <v>178.92</v>
      </c>
      <c r="AD78" s="284">
        <v>41.26</v>
      </c>
      <c r="AE78" s="284">
        <v>15.71</v>
      </c>
      <c r="AF78" s="284">
        <v>9.1</v>
      </c>
      <c r="AG78" s="284">
        <v>7.84</v>
      </c>
      <c r="AH78" s="284">
        <v>6.03</v>
      </c>
      <c r="AI78" s="284">
        <v>33.130000000000003</v>
      </c>
      <c r="AJ78" s="284">
        <v>17.32</v>
      </c>
      <c r="AK78" s="284">
        <v>0</v>
      </c>
      <c r="AL78" s="284">
        <v>15.06</v>
      </c>
      <c r="AM78" s="284">
        <v>2.68</v>
      </c>
      <c r="AN78" s="284">
        <v>6.12</v>
      </c>
      <c r="AO78" s="284">
        <v>35.76</v>
      </c>
      <c r="AP78" s="284">
        <v>114.08</v>
      </c>
      <c r="AQ78" s="284">
        <v>0</v>
      </c>
      <c r="AR78" s="284">
        <v>0</v>
      </c>
      <c r="AS78" s="284">
        <v>0</v>
      </c>
      <c r="AT78" s="284">
        <v>0</v>
      </c>
      <c r="AU78" s="284">
        <v>0</v>
      </c>
      <c r="AV78" s="284">
        <v>0</v>
      </c>
      <c r="AW78" s="284">
        <v>0</v>
      </c>
      <c r="AX78" s="284">
        <v>0</v>
      </c>
      <c r="AY78" s="284">
        <v>0</v>
      </c>
      <c r="AZ78" s="284">
        <v>0</v>
      </c>
      <c r="BA78" s="284">
        <v>0</v>
      </c>
      <c r="BB78" s="284">
        <v>0</v>
      </c>
      <c r="BC78" s="284">
        <v>0</v>
      </c>
      <c r="BD78" s="284">
        <v>0</v>
      </c>
      <c r="BE78" s="284">
        <v>0</v>
      </c>
      <c r="BF78" s="284">
        <v>0</v>
      </c>
      <c r="BG78" s="284">
        <v>0</v>
      </c>
      <c r="BH78" s="284">
        <v>2499</v>
      </c>
    </row>
    <row r="79" spans="1:60">
      <c r="A79" s="192" t="s">
        <v>154</v>
      </c>
      <c r="B79" s="193">
        <v>0</v>
      </c>
      <c r="C79" s="193">
        <v>4077.39</v>
      </c>
      <c r="D79" s="193">
        <v>351.54</v>
      </c>
      <c r="E79" s="193">
        <v>111.16</v>
      </c>
      <c r="F79" s="193">
        <v>385.4</v>
      </c>
      <c r="G79" s="193">
        <v>210.98</v>
      </c>
      <c r="H79" s="193">
        <v>602.79</v>
      </c>
      <c r="I79" s="193">
        <v>1058.93</v>
      </c>
      <c r="J79" s="193">
        <v>2806.97</v>
      </c>
      <c r="K79" s="193">
        <v>1187.29</v>
      </c>
      <c r="L79" s="193">
        <v>174.81</v>
      </c>
      <c r="M79" s="193">
        <v>604.16999999999996</v>
      </c>
      <c r="N79" s="193">
        <v>2276.1999999999998</v>
      </c>
      <c r="O79" s="193">
        <v>339.37</v>
      </c>
      <c r="P79" s="193">
        <v>79.16</v>
      </c>
      <c r="Q79" s="193">
        <v>375.9</v>
      </c>
      <c r="R79" s="193">
        <v>0</v>
      </c>
      <c r="S79" s="193">
        <v>0</v>
      </c>
      <c r="T79" s="193">
        <v>1187.95</v>
      </c>
      <c r="U79" s="193">
        <v>30.87</v>
      </c>
      <c r="V79" s="193">
        <v>409.64</v>
      </c>
      <c r="W79" s="193">
        <v>446.6</v>
      </c>
      <c r="X79" s="193">
        <v>2759.03</v>
      </c>
      <c r="Y79" s="193">
        <v>0</v>
      </c>
      <c r="Z79" s="193">
        <v>0</v>
      </c>
      <c r="AA79" s="193">
        <v>40.58</v>
      </c>
      <c r="AB79" s="193">
        <v>14.87</v>
      </c>
      <c r="AC79" s="193">
        <v>1602.59</v>
      </c>
      <c r="AD79" s="193">
        <v>371.24</v>
      </c>
      <c r="AE79" s="193">
        <v>155.66</v>
      </c>
      <c r="AF79" s="193">
        <v>85.8</v>
      </c>
      <c r="AG79" s="193">
        <v>75.540000000000006</v>
      </c>
      <c r="AH79" s="193">
        <v>58.95</v>
      </c>
      <c r="AI79" s="193">
        <v>310</v>
      </c>
      <c r="AJ79" s="193">
        <v>161.47</v>
      </c>
      <c r="AK79" s="193">
        <v>0</v>
      </c>
      <c r="AL79" s="193">
        <v>166.38</v>
      </c>
      <c r="AM79" s="193">
        <v>24.65</v>
      </c>
      <c r="AN79" s="193">
        <v>56.34</v>
      </c>
      <c r="AO79" s="193">
        <v>306.14</v>
      </c>
      <c r="AP79" s="193">
        <v>989.94</v>
      </c>
      <c r="AQ79" s="193">
        <v>40.28</v>
      </c>
      <c r="AR79" s="193">
        <v>0</v>
      </c>
      <c r="AS79" s="193">
        <v>0</v>
      </c>
      <c r="AT79" s="193">
        <v>0</v>
      </c>
      <c r="AU79" s="193">
        <v>0</v>
      </c>
      <c r="AV79" s="193">
        <v>0</v>
      </c>
      <c r="AW79" s="193">
        <v>0</v>
      </c>
      <c r="AX79" s="193">
        <v>0</v>
      </c>
      <c r="AY79" s="193">
        <v>0</v>
      </c>
      <c r="AZ79" s="193">
        <v>0</v>
      </c>
      <c r="BA79" s="193">
        <v>0</v>
      </c>
      <c r="BB79" s="193">
        <v>0</v>
      </c>
      <c r="BC79" s="193">
        <v>0</v>
      </c>
      <c r="BD79" s="193">
        <v>0</v>
      </c>
      <c r="BE79" s="193">
        <v>0</v>
      </c>
      <c r="BF79" s="193">
        <v>0</v>
      </c>
      <c r="BG79" s="193">
        <v>0</v>
      </c>
      <c r="BH79" s="193">
        <v>24074.13</v>
      </c>
    </row>
    <row r="80" spans="1:60">
      <c r="A80" s="191" t="s">
        <v>155</v>
      </c>
      <c r="B80" s="191"/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1"/>
      <c r="AT80" s="191"/>
      <c r="AU80" s="191"/>
      <c r="AV80" s="191"/>
      <c r="AW80" s="191"/>
      <c r="AX80" s="191"/>
      <c r="AY80" s="191"/>
      <c r="AZ80" s="191"/>
      <c r="BA80" s="191"/>
      <c r="BB80" s="191"/>
      <c r="BC80" s="191"/>
      <c r="BD80" s="191"/>
      <c r="BE80" s="191"/>
      <c r="BF80" s="191"/>
      <c r="BG80" s="191"/>
      <c r="BH80" s="191"/>
    </row>
    <row r="81" spans="1:60">
      <c r="A81" s="187" t="s">
        <v>157</v>
      </c>
      <c r="B81" s="284">
        <v>0</v>
      </c>
      <c r="C81" s="284">
        <v>986.54</v>
      </c>
      <c r="D81" s="284">
        <v>0</v>
      </c>
      <c r="E81" s="284">
        <v>0</v>
      </c>
      <c r="F81" s="284">
        <v>0</v>
      </c>
      <c r="G81" s="284">
        <v>965.21</v>
      </c>
      <c r="H81" s="284">
        <v>0</v>
      </c>
      <c r="I81" s="284">
        <v>900.13</v>
      </c>
      <c r="J81" s="284">
        <v>123.02</v>
      </c>
      <c r="K81" s="284">
        <v>30.26</v>
      </c>
      <c r="L81" s="284">
        <v>0</v>
      </c>
      <c r="M81" s="284">
        <v>0</v>
      </c>
      <c r="N81" s="284">
        <v>228.71</v>
      </c>
      <c r="O81" s="284">
        <v>6.14</v>
      </c>
      <c r="P81" s="284">
        <v>0</v>
      </c>
      <c r="Q81" s="284">
        <v>13.08</v>
      </c>
      <c r="R81" s="284">
        <v>0</v>
      </c>
      <c r="S81" s="284">
        <v>0</v>
      </c>
      <c r="T81" s="284">
        <v>0</v>
      </c>
      <c r="U81" s="284">
        <v>0</v>
      </c>
      <c r="V81" s="284">
        <v>0</v>
      </c>
      <c r="W81" s="284">
        <v>317.79000000000002</v>
      </c>
      <c r="X81" s="284">
        <v>0</v>
      </c>
      <c r="Y81" s="284">
        <v>0</v>
      </c>
      <c r="Z81" s="284">
        <v>0</v>
      </c>
      <c r="AA81" s="284">
        <v>0</v>
      </c>
      <c r="AB81" s="284">
        <v>0</v>
      </c>
      <c r="AC81" s="284">
        <v>1358.88</v>
      </c>
      <c r="AD81" s="284">
        <v>1438.14</v>
      </c>
      <c r="AE81" s="284">
        <v>436.9</v>
      </c>
      <c r="AF81" s="284">
        <v>0</v>
      </c>
      <c r="AG81" s="284">
        <v>51.81</v>
      </c>
      <c r="AH81" s="284">
        <v>0</v>
      </c>
      <c r="AI81" s="284">
        <v>25.99</v>
      </c>
      <c r="AJ81" s="284">
        <v>47.33</v>
      </c>
      <c r="AK81" s="284">
        <v>4.01</v>
      </c>
      <c r="AL81" s="284">
        <v>24.92</v>
      </c>
      <c r="AM81" s="284">
        <v>0</v>
      </c>
      <c r="AN81" s="284">
        <v>470.8</v>
      </c>
      <c r="AO81" s="284">
        <v>1579.34</v>
      </c>
      <c r="AP81" s="284">
        <v>0</v>
      </c>
      <c r="AQ81" s="284">
        <v>203.68</v>
      </c>
      <c r="AR81" s="284">
        <v>2902.65</v>
      </c>
      <c r="AS81" s="284">
        <v>0</v>
      </c>
      <c r="AT81" s="284">
        <v>0</v>
      </c>
      <c r="AU81" s="284">
        <v>0</v>
      </c>
      <c r="AV81" s="284">
        <v>0</v>
      </c>
      <c r="AW81" s="284">
        <v>0</v>
      </c>
      <c r="AX81" s="284">
        <v>0</v>
      </c>
      <c r="AY81" s="284">
        <v>0</v>
      </c>
      <c r="AZ81" s="284">
        <v>0</v>
      </c>
      <c r="BA81" s="284">
        <v>0</v>
      </c>
      <c r="BB81" s="284">
        <v>0</v>
      </c>
      <c r="BC81" s="284">
        <v>0</v>
      </c>
      <c r="BD81" s="284">
        <v>0</v>
      </c>
      <c r="BE81" s="284">
        <v>0</v>
      </c>
      <c r="BF81" s="284">
        <v>0</v>
      </c>
      <c r="BG81" s="284">
        <v>0</v>
      </c>
      <c r="BH81" s="284">
        <v>12182.1</v>
      </c>
    </row>
    <row r="82" spans="1:60">
      <c r="A82" s="187" t="s">
        <v>158</v>
      </c>
      <c r="B82" s="284">
        <v>0</v>
      </c>
      <c r="C82" s="284">
        <v>341.19</v>
      </c>
      <c r="D82" s="284">
        <v>0</v>
      </c>
      <c r="E82" s="284">
        <v>0</v>
      </c>
      <c r="F82" s="284">
        <v>0</v>
      </c>
      <c r="G82" s="284">
        <v>0</v>
      </c>
      <c r="H82" s="284">
        <v>0</v>
      </c>
      <c r="I82" s="284">
        <v>49.84</v>
      </c>
      <c r="J82" s="284">
        <v>47.18</v>
      </c>
      <c r="K82" s="284">
        <v>0</v>
      </c>
      <c r="L82" s="284">
        <v>0</v>
      </c>
      <c r="M82" s="284">
        <v>0</v>
      </c>
      <c r="N82" s="284">
        <v>0</v>
      </c>
      <c r="O82" s="284">
        <v>0</v>
      </c>
      <c r="P82" s="284">
        <v>0</v>
      </c>
      <c r="Q82" s="284">
        <v>0</v>
      </c>
      <c r="R82" s="284">
        <v>0</v>
      </c>
      <c r="S82" s="284">
        <v>0</v>
      </c>
      <c r="T82" s="284">
        <v>0</v>
      </c>
      <c r="U82" s="284">
        <v>0</v>
      </c>
      <c r="V82" s="284">
        <v>0</v>
      </c>
      <c r="W82" s="284">
        <v>0</v>
      </c>
      <c r="X82" s="284">
        <v>0</v>
      </c>
      <c r="Y82" s="284">
        <v>0</v>
      </c>
      <c r="Z82" s="284">
        <v>0</v>
      </c>
      <c r="AA82" s="284">
        <v>0</v>
      </c>
      <c r="AB82" s="284">
        <v>0</v>
      </c>
      <c r="AC82" s="284">
        <v>0</v>
      </c>
      <c r="AD82" s="284">
        <v>37.869999999999997</v>
      </c>
      <c r="AE82" s="284">
        <v>48.06</v>
      </c>
      <c r="AF82" s="284">
        <v>0</v>
      </c>
      <c r="AG82" s="284">
        <v>363.12</v>
      </c>
      <c r="AH82" s="284">
        <v>0</v>
      </c>
      <c r="AI82" s="284">
        <v>0</v>
      </c>
      <c r="AJ82" s="284">
        <v>0</v>
      </c>
      <c r="AK82" s="284">
        <v>0</v>
      </c>
      <c r="AL82" s="284">
        <v>0</v>
      </c>
      <c r="AM82" s="284">
        <v>0</v>
      </c>
      <c r="AN82" s="284">
        <v>0</v>
      </c>
      <c r="AO82" s="284">
        <v>0</v>
      </c>
      <c r="AP82" s="284">
        <v>0</v>
      </c>
      <c r="AQ82" s="284">
        <v>0</v>
      </c>
      <c r="AR82" s="284">
        <v>37.85</v>
      </c>
      <c r="AS82" s="284">
        <v>0</v>
      </c>
      <c r="AT82" s="284">
        <v>0</v>
      </c>
      <c r="AU82" s="284">
        <v>0</v>
      </c>
      <c r="AV82" s="284">
        <v>0</v>
      </c>
      <c r="AW82" s="284">
        <v>0</v>
      </c>
      <c r="AX82" s="284">
        <v>0</v>
      </c>
      <c r="AY82" s="284">
        <v>0</v>
      </c>
      <c r="AZ82" s="284">
        <v>0</v>
      </c>
      <c r="BA82" s="284">
        <v>0</v>
      </c>
      <c r="BB82" s="284">
        <v>0</v>
      </c>
      <c r="BC82" s="284">
        <v>0</v>
      </c>
      <c r="BD82" s="284">
        <v>0</v>
      </c>
      <c r="BE82" s="284">
        <v>0</v>
      </c>
      <c r="BF82" s="284">
        <v>0</v>
      </c>
      <c r="BG82" s="284">
        <v>0</v>
      </c>
      <c r="BH82" s="284">
        <v>925.11</v>
      </c>
    </row>
    <row r="83" spans="1:60">
      <c r="A83" s="192" t="s">
        <v>159</v>
      </c>
      <c r="B83" s="193">
        <v>0</v>
      </c>
      <c r="C83" s="193">
        <v>1327.73</v>
      </c>
      <c r="D83" s="193">
        <v>0</v>
      </c>
      <c r="E83" s="193">
        <v>0</v>
      </c>
      <c r="F83" s="193">
        <v>0</v>
      </c>
      <c r="G83" s="193">
        <v>965.21</v>
      </c>
      <c r="H83" s="193">
        <v>0</v>
      </c>
      <c r="I83" s="193">
        <v>949.97</v>
      </c>
      <c r="J83" s="193">
        <v>170.2</v>
      </c>
      <c r="K83" s="193">
        <v>30.26</v>
      </c>
      <c r="L83" s="193">
        <v>0</v>
      </c>
      <c r="M83" s="193">
        <v>0</v>
      </c>
      <c r="N83" s="193">
        <v>228.71</v>
      </c>
      <c r="O83" s="193">
        <v>6.14</v>
      </c>
      <c r="P83" s="193">
        <v>0</v>
      </c>
      <c r="Q83" s="193">
        <v>13.08</v>
      </c>
      <c r="R83" s="193">
        <v>0</v>
      </c>
      <c r="S83" s="193">
        <v>0</v>
      </c>
      <c r="T83" s="193">
        <v>0</v>
      </c>
      <c r="U83" s="193">
        <v>0</v>
      </c>
      <c r="V83" s="193">
        <v>0</v>
      </c>
      <c r="W83" s="193">
        <v>317.79000000000002</v>
      </c>
      <c r="X83" s="193">
        <v>0</v>
      </c>
      <c r="Y83" s="193">
        <v>0</v>
      </c>
      <c r="Z83" s="193">
        <v>0</v>
      </c>
      <c r="AA83" s="193">
        <v>0</v>
      </c>
      <c r="AB83" s="193">
        <v>0</v>
      </c>
      <c r="AC83" s="193">
        <v>1358.88</v>
      </c>
      <c r="AD83" s="193">
        <v>1476.01</v>
      </c>
      <c r="AE83" s="193">
        <v>484.96</v>
      </c>
      <c r="AF83" s="193">
        <v>0</v>
      </c>
      <c r="AG83" s="193">
        <v>414.93</v>
      </c>
      <c r="AH83" s="193">
        <v>0</v>
      </c>
      <c r="AI83" s="193">
        <v>25.99</v>
      </c>
      <c r="AJ83" s="193">
        <v>47.33</v>
      </c>
      <c r="AK83" s="193">
        <v>4.01</v>
      </c>
      <c r="AL83" s="193">
        <v>24.92</v>
      </c>
      <c r="AM83" s="193">
        <v>0</v>
      </c>
      <c r="AN83" s="193">
        <v>470.8</v>
      </c>
      <c r="AO83" s="193">
        <v>1579.34</v>
      </c>
      <c r="AP83" s="193">
        <v>0</v>
      </c>
      <c r="AQ83" s="193">
        <v>203.68</v>
      </c>
      <c r="AR83" s="193">
        <v>2940.5</v>
      </c>
      <c r="AS83" s="193">
        <v>0</v>
      </c>
      <c r="AT83" s="193">
        <v>0</v>
      </c>
      <c r="AU83" s="193">
        <v>0</v>
      </c>
      <c r="AV83" s="193">
        <v>0</v>
      </c>
      <c r="AW83" s="193">
        <v>0</v>
      </c>
      <c r="AX83" s="193">
        <v>0</v>
      </c>
      <c r="AY83" s="193">
        <v>0</v>
      </c>
      <c r="AZ83" s="193">
        <v>0</v>
      </c>
      <c r="BA83" s="193">
        <v>0</v>
      </c>
      <c r="BB83" s="193">
        <v>0</v>
      </c>
      <c r="BC83" s="193">
        <v>0</v>
      </c>
      <c r="BD83" s="193">
        <v>0</v>
      </c>
      <c r="BE83" s="193">
        <v>0</v>
      </c>
      <c r="BF83" s="193">
        <v>0</v>
      </c>
      <c r="BG83" s="193">
        <v>0</v>
      </c>
      <c r="BH83" s="193">
        <v>13107.21</v>
      </c>
    </row>
    <row r="84" spans="1:60">
      <c r="A84" s="191" t="s">
        <v>160</v>
      </c>
      <c r="B84" s="191"/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191"/>
      <c r="AT84" s="191"/>
      <c r="AU84" s="191"/>
      <c r="AV84" s="191"/>
      <c r="AW84" s="191"/>
      <c r="AX84" s="191"/>
      <c r="AY84" s="191"/>
      <c r="AZ84" s="191"/>
      <c r="BA84" s="191"/>
      <c r="BB84" s="191"/>
      <c r="BC84" s="191"/>
      <c r="BD84" s="191"/>
      <c r="BE84" s="191"/>
      <c r="BF84" s="191"/>
      <c r="BG84" s="191"/>
      <c r="BH84" s="191"/>
    </row>
    <row r="85" spans="1:60">
      <c r="A85" s="187" t="s">
        <v>161</v>
      </c>
      <c r="B85" s="284">
        <v>0</v>
      </c>
      <c r="C85" s="284">
        <v>525</v>
      </c>
      <c r="D85" s="284">
        <v>0</v>
      </c>
      <c r="E85" s="284">
        <v>0</v>
      </c>
      <c r="F85" s="284">
        <v>0</v>
      </c>
      <c r="G85" s="284">
        <v>10</v>
      </c>
      <c r="H85" s="284">
        <v>0</v>
      </c>
      <c r="I85" s="284">
        <v>0</v>
      </c>
      <c r="J85" s="284">
        <v>0</v>
      </c>
      <c r="K85" s="284">
        <v>0</v>
      </c>
      <c r="L85" s="284">
        <v>0</v>
      </c>
      <c r="M85" s="284">
        <v>0</v>
      </c>
      <c r="N85" s="284">
        <v>0</v>
      </c>
      <c r="O85" s="284">
        <v>0</v>
      </c>
      <c r="P85" s="284">
        <v>0</v>
      </c>
      <c r="Q85" s="284">
        <v>0</v>
      </c>
      <c r="R85" s="284">
        <v>0</v>
      </c>
      <c r="S85" s="284">
        <v>0</v>
      </c>
      <c r="T85" s="284">
        <v>0</v>
      </c>
      <c r="U85" s="284">
        <v>0</v>
      </c>
      <c r="V85" s="284">
        <v>0</v>
      </c>
      <c r="W85" s="284">
        <v>0</v>
      </c>
      <c r="X85" s="284">
        <v>0</v>
      </c>
      <c r="Y85" s="284">
        <v>0</v>
      </c>
      <c r="Z85" s="284">
        <v>0</v>
      </c>
      <c r="AA85" s="284">
        <v>0</v>
      </c>
      <c r="AB85" s="284">
        <v>0</v>
      </c>
      <c r="AC85" s="284">
        <v>0</v>
      </c>
      <c r="AD85" s="284">
        <v>0</v>
      </c>
      <c r="AE85" s="284">
        <v>0</v>
      </c>
      <c r="AF85" s="284">
        <v>0</v>
      </c>
      <c r="AG85" s="284">
        <v>0</v>
      </c>
      <c r="AH85" s="284">
        <v>0</v>
      </c>
      <c r="AI85" s="284">
        <v>0</v>
      </c>
      <c r="AJ85" s="284">
        <v>796</v>
      </c>
      <c r="AK85" s="284">
        <v>0</v>
      </c>
      <c r="AL85" s="284">
        <v>0</v>
      </c>
      <c r="AM85" s="284">
        <v>0</v>
      </c>
      <c r="AN85" s="284">
        <v>0</v>
      </c>
      <c r="AO85" s="284">
        <v>0</v>
      </c>
      <c r="AP85" s="284">
        <v>0</v>
      </c>
      <c r="AQ85" s="284">
        <v>0</v>
      </c>
      <c r="AR85" s="284">
        <v>0</v>
      </c>
      <c r="AS85" s="284">
        <v>0</v>
      </c>
      <c r="AT85" s="284">
        <v>0</v>
      </c>
      <c r="AU85" s="284">
        <v>0</v>
      </c>
      <c r="AV85" s="284">
        <v>0</v>
      </c>
      <c r="AW85" s="284">
        <v>0</v>
      </c>
      <c r="AX85" s="284">
        <v>0</v>
      </c>
      <c r="AY85" s="284">
        <v>0</v>
      </c>
      <c r="AZ85" s="284">
        <v>0</v>
      </c>
      <c r="BA85" s="284">
        <v>0</v>
      </c>
      <c r="BB85" s="284">
        <v>0</v>
      </c>
      <c r="BC85" s="284">
        <v>0</v>
      </c>
      <c r="BD85" s="284">
        <v>0</v>
      </c>
      <c r="BE85" s="284">
        <v>0</v>
      </c>
      <c r="BF85" s="284">
        <v>0</v>
      </c>
      <c r="BG85" s="284">
        <v>0</v>
      </c>
      <c r="BH85" s="284">
        <v>1331</v>
      </c>
    </row>
    <row r="86" spans="1:60">
      <c r="A86" s="187" t="s">
        <v>162</v>
      </c>
      <c r="B86" s="284">
        <v>0</v>
      </c>
      <c r="C86" s="284">
        <v>0</v>
      </c>
      <c r="D86" s="284">
        <v>0</v>
      </c>
      <c r="E86" s="284">
        <v>0</v>
      </c>
      <c r="F86" s="284">
        <v>0</v>
      </c>
      <c r="G86" s="284">
        <v>0</v>
      </c>
      <c r="H86" s="284">
        <v>0</v>
      </c>
      <c r="I86" s="284">
        <v>0</v>
      </c>
      <c r="J86" s="284">
        <v>0</v>
      </c>
      <c r="K86" s="284">
        <v>0</v>
      </c>
      <c r="L86" s="284">
        <v>0</v>
      </c>
      <c r="M86" s="284">
        <v>0</v>
      </c>
      <c r="N86" s="284">
        <v>0</v>
      </c>
      <c r="O86" s="284">
        <v>0</v>
      </c>
      <c r="P86" s="284">
        <v>0</v>
      </c>
      <c r="Q86" s="284">
        <v>0</v>
      </c>
      <c r="R86" s="284">
        <v>0</v>
      </c>
      <c r="S86" s="284">
        <v>0</v>
      </c>
      <c r="T86" s="284">
        <v>0</v>
      </c>
      <c r="U86" s="284">
        <v>0</v>
      </c>
      <c r="V86" s="284">
        <v>0</v>
      </c>
      <c r="W86" s="284">
        <v>0</v>
      </c>
      <c r="X86" s="284">
        <v>0</v>
      </c>
      <c r="Y86" s="284">
        <v>0</v>
      </c>
      <c r="Z86" s="284">
        <v>0</v>
      </c>
      <c r="AA86" s="284">
        <v>0</v>
      </c>
      <c r="AB86" s="284">
        <v>0</v>
      </c>
      <c r="AC86" s="284">
        <v>0</v>
      </c>
      <c r="AD86" s="284">
        <v>0</v>
      </c>
      <c r="AE86" s="284">
        <v>2065</v>
      </c>
      <c r="AF86" s="284">
        <v>0</v>
      </c>
      <c r="AG86" s="284">
        <v>0</v>
      </c>
      <c r="AH86" s="284">
        <v>0</v>
      </c>
      <c r="AI86" s="284">
        <v>0</v>
      </c>
      <c r="AJ86" s="284">
        <v>0</v>
      </c>
      <c r="AK86" s="284">
        <v>0</v>
      </c>
      <c r="AL86" s="284">
        <v>0</v>
      </c>
      <c r="AM86" s="284">
        <v>0</v>
      </c>
      <c r="AN86" s="284">
        <v>0</v>
      </c>
      <c r="AO86" s="284">
        <v>0</v>
      </c>
      <c r="AP86" s="284">
        <v>0</v>
      </c>
      <c r="AQ86" s="284">
        <v>0</v>
      </c>
      <c r="AR86" s="284">
        <v>0</v>
      </c>
      <c r="AS86" s="284">
        <v>0</v>
      </c>
      <c r="AT86" s="284">
        <v>0</v>
      </c>
      <c r="AU86" s="284">
        <v>0</v>
      </c>
      <c r="AV86" s="284">
        <v>0</v>
      </c>
      <c r="AW86" s="284">
        <v>0</v>
      </c>
      <c r="AX86" s="284">
        <v>0</v>
      </c>
      <c r="AY86" s="284">
        <v>0</v>
      </c>
      <c r="AZ86" s="284">
        <v>0</v>
      </c>
      <c r="BA86" s="284">
        <v>0</v>
      </c>
      <c r="BB86" s="284">
        <v>0</v>
      </c>
      <c r="BC86" s="284">
        <v>0</v>
      </c>
      <c r="BD86" s="284">
        <v>0</v>
      </c>
      <c r="BE86" s="284">
        <v>0</v>
      </c>
      <c r="BF86" s="284">
        <v>0</v>
      </c>
      <c r="BG86" s="284">
        <v>0</v>
      </c>
      <c r="BH86" s="284">
        <v>2065</v>
      </c>
    </row>
    <row r="87" spans="1:60">
      <c r="A87" s="192" t="s">
        <v>163</v>
      </c>
      <c r="B87" s="193">
        <v>0</v>
      </c>
      <c r="C87" s="193">
        <v>525</v>
      </c>
      <c r="D87" s="193">
        <v>0</v>
      </c>
      <c r="E87" s="193">
        <v>0</v>
      </c>
      <c r="F87" s="193">
        <v>0</v>
      </c>
      <c r="G87" s="193">
        <v>10</v>
      </c>
      <c r="H87" s="193">
        <v>0</v>
      </c>
      <c r="I87" s="193">
        <v>0</v>
      </c>
      <c r="J87" s="193">
        <v>0</v>
      </c>
      <c r="K87" s="193">
        <v>0</v>
      </c>
      <c r="L87" s="193">
        <v>0</v>
      </c>
      <c r="M87" s="193">
        <v>0</v>
      </c>
      <c r="N87" s="193">
        <v>0</v>
      </c>
      <c r="O87" s="193">
        <v>0</v>
      </c>
      <c r="P87" s="193">
        <v>0</v>
      </c>
      <c r="Q87" s="193">
        <v>0</v>
      </c>
      <c r="R87" s="193">
        <v>0</v>
      </c>
      <c r="S87" s="193">
        <v>0</v>
      </c>
      <c r="T87" s="193">
        <v>0</v>
      </c>
      <c r="U87" s="193">
        <v>0</v>
      </c>
      <c r="V87" s="193">
        <v>0</v>
      </c>
      <c r="W87" s="193">
        <v>0</v>
      </c>
      <c r="X87" s="193">
        <v>0</v>
      </c>
      <c r="Y87" s="193">
        <v>0</v>
      </c>
      <c r="Z87" s="193">
        <v>0</v>
      </c>
      <c r="AA87" s="193">
        <v>0</v>
      </c>
      <c r="AB87" s="193">
        <v>0</v>
      </c>
      <c r="AC87" s="193">
        <v>0</v>
      </c>
      <c r="AD87" s="193">
        <v>0</v>
      </c>
      <c r="AE87" s="193">
        <v>2065</v>
      </c>
      <c r="AF87" s="193">
        <v>0</v>
      </c>
      <c r="AG87" s="193">
        <v>0</v>
      </c>
      <c r="AH87" s="193">
        <v>0</v>
      </c>
      <c r="AI87" s="193">
        <v>0</v>
      </c>
      <c r="AJ87" s="193">
        <v>796</v>
      </c>
      <c r="AK87" s="193">
        <v>0</v>
      </c>
      <c r="AL87" s="193">
        <v>0</v>
      </c>
      <c r="AM87" s="193">
        <v>0</v>
      </c>
      <c r="AN87" s="193">
        <v>0</v>
      </c>
      <c r="AO87" s="193">
        <v>0</v>
      </c>
      <c r="AP87" s="193">
        <v>0</v>
      </c>
      <c r="AQ87" s="193">
        <v>0</v>
      </c>
      <c r="AR87" s="193">
        <v>0</v>
      </c>
      <c r="AS87" s="193">
        <v>0</v>
      </c>
      <c r="AT87" s="193">
        <v>0</v>
      </c>
      <c r="AU87" s="193">
        <v>0</v>
      </c>
      <c r="AV87" s="193">
        <v>0</v>
      </c>
      <c r="AW87" s="193">
        <v>0</v>
      </c>
      <c r="AX87" s="193">
        <v>0</v>
      </c>
      <c r="AY87" s="193">
        <v>0</v>
      </c>
      <c r="AZ87" s="193">
        <v>0</v>
      </c>
      <c r="BA87" s="193">
        <v>0</v>
      </c>
      <c r="BB87" s="193">
        <v>0</v>
      </c>
      <c r="BC87" s="193">
        <v>0</v>
      </c>
      <c r="BD87" s="193">
        <v>0</v>
      </c>
      <c r="BE87" s="193">
        <v>0</v>
      </c>
      <c r="BF87" s="193">
        <v>0</v>
      </c>
      <c r="BG87" s="193">
        <v>0</v>
      </c>
      <c r="BH87" s="193">
        <v>3396</v>
      </c>
    </row>
    <row r="88" spans="1:60">
      <c r="A88" s="187" t="s">
        <v>164</v>
      </c>
      <c r="B88" s="284">
        <v>0</v>
      </c>
      <c r="C88" s="284">
        <v>5744.59</v>
      </c>
      <c r="D88" s="284">
        <v>7.18</v>
      </c>
      <c r="E88" s="284">
        <v>50.62</v>
      </c>
      <c r="F88" s="284">
        <v>73.53</v>
      </c>
      <c r="G88" s="284">
        <v>89.43</v>
      </c>
      <c r="H88" s="284">
        <v>129.88999999999999</v>
      </c>
      <c r="I88" s="284">
        <v>201.41</v>
      </c>
      <c r="J88" s="284">
        <v>567.89</v>
      </c>
      <c r="K88" s="284">
        <v>161.16</v>
      </c>
      <c r="L88" s="284">
        <v>37.68</v>
      </c>
      <c r="M88" s="284">
        <v>108.46</v>
      </c>
      <c r="N88" s="284">
        <v>628.53</v>
      </c>
      <c r="O88" s="284">
        <v>52.15</v>
      </c>
      <c r="P88" s="284">
        <v>9.9600000000000009</v>
      </c>
      <c r="Q88" s="284">
        <v>71.150000000000006</v>
      </c>
      <c r="R88" s="284">
        <v>0</v>
      </c>
      <c r="S88" s="284">
        <v>0</v>
      </c>
      <c r="T88" s="284">
        <v>269.67</v>
      </c>
      <c r="U88" s="284">
        <v>6.74</v>
      </c>
      <c r="V88" s="284">
        <v>47.93</v>
      </c>
      <c r="W88" s="284">
        <v>144.96</v>
      </c>
      <c r="X88" s="284">
        <v>491.44</v>
      </c>
      <c r="Y88" s="284">
        <v>0</v>
      </c>
      <c r="Z88" s="284">
        <v>0</v>
      </c>
      <c r="AA88" s="284">
        <v>3.53</v>
      </c>
      <c r="AB88" s="284">
        <v>1.29</v>
      </c>
      <c r="AC88" s="284">
        <v>389.77</v>
      </c>
      <c r="AD88" s="284">
        <v>72.63</v>
      </c>
      <c r="AE88" s="284">
        <v>89.57</v>
      </c>
      <c r="AF88" s="284">
        <v>10.78</v>
      </c>
      <c r="AG88" s="284">
        <v>9.57</v>
      </c>
      <c r="AH88" s="284">
        <v>8.07</v>
      </c>
      <c r="AI88" s="284">
        <v>32.520000000000003</v>
      </c>
      <c r="AJ88" s="284">
        <v>15.4</v>
      </c>
      <c r="AK88" s="284">
        <v>0</v>
      </c>
      <c r="AL88" s="284">
        <v>31.08</v>
      </c>
      <c r="AM88" s="284">
        <v>2.23</v>
      </c>
      <c r="AN88" s="284">
        <v>3.13</v>
      </c>
      <c r="AO88" s="284">
        <v>69.989999999999995</v>
      </c>
      <c r="AP88" s="284">
        <v>162.46</v>
      </c>
      <c r="AQ88" s="284">
        <v>46.06</v>
      </c>
      <c r="AR88" s="284">
        <v>1123.8900000000001</v>
      </c>
      <c r="AS88" s="284">
        <v>0</v>
      </c>
      <c r="AT88" s="284">
        <v>0</v>
      </c>
      <c r="AU88" s="284">
        <v>0</v>
      </c>
      <c r="AV88" s="284">
        <v>0</v>
      </c>
      <c r="AW88" s="284">
        <v>0</v>
      </c>
      <c r="AX88" s="284">
        <v>0</v>
      </c>
      <c r="AY88" s="284">
        <v>0</v>
      </c>
      <c r="AZ88" s="284">
        <v>0</v>
      </c>
      <c r="BA88" s="284">
        <v>0</v>
      </c>
      <c r="BB88" s="284">
        <v>0</v>
      </c>
      <c r="BC88" s="284">
        <v>0</v>
      </c>
      <c r="BD88" s="284">
        <v>0</v>
      </c>
      <c r="BE88" s="284">
        <v>0</v>
      </c>
      <c r="BF88" s="284">
        <v>0</v>
      </c>
      <c r="BG88" s="284">
        <v>0</v>
      </c>
      <c r="BH88" s="284">
        <v>10994.69</v>
      </c>
    </row>
    <row r="89" spans="1:60">
      <c r="A89" s="191" t="s">
        <v>165</v>
      </c>
      <c r="B89" s="191"/>
      <c r="C89" s="191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  <c r="AP89" s="191"/>
      <c r="AQ89" s="191"/>
      <c r="AR89" s="191"/>
      <c r="AS89" s="191"/>
      <c r="AT89" s="191"/>
      <c r="AU89" s="191"/>
      <c r="AV89" s="191"/>
      <c r="AW89" s="191"/>
      <c r="AX89" s="191"/>
      <c r="AY89" s="191"/>
      <c r="AZ89" s="191"/>
      <c r="BA89" s="191"/>
      <c r="BB89" s="191"/>
      <c r="BC89" s="191"/>
      <c r="BD89" s="191"/>
      <c r="BE89" s="191"/>
      <c r="BF89" s="191"/>
      <c r="BG89" s="191"/>
      <c r="BH89" s="191"/>
    </row>
    <row r="90" spans="1:60">
      <c r="A90" s="187" t="s">
        <v>166</v>
      </c>
      <c r="B90" s="284">
        <v>0</v>
      </c>
      <c r="C90" s="284">
        <v>11355.03</v>
      </c>
      <c r="D90" s="284">
        <v>1357.22</v>
      </c>
      <c r="E90" s="284">
        <v>207.49</v>
      </c>
      <c r="F90" s="284">
        <v>868.28</v>
      </c>
      <c r="G90" s="284">
        <v>310.79000000000002</v>
      </c>
      <c r="H90" s="284">
        <v>4381.4799999999996</v>
      </c>
      <c r="I90" s="284">
        <v>2256.63</v>
      </c>
      <c r="J90" s="284">
        <v>4992.8500000000004</v>
      </c>
      <c r="K90" s="284">
        <v>2142.0700000000002</v>
      </c>
      <c r="L90" s="284">
        <v>331.42</v>
      </c>
      <c r="M90" s="284">
        <v>1262.25</v>
      </c>
      <c r="N90" s="284">
        <v>2941.49</v>
      </c>
      <c r="O90" s="284">
        <v>684.67</v>
      </c>
      <c r="P90" s="284">
        <v>134.16999999999999</v>
      </c>
      <c r="Q90" s="284">
        <v>761.46</v>
      </c>
      <c r="R90" s="284">
        <v>0</v>
      </c>
      <c r="S90" s="284">
        <v>0</v>
      </c>
      <c r="T90" s="284">
        <v>2483.2199999999998</v>
      </c>
      <c r="U90" s="284">
        <v>7.84</v>
      </c>
      <c r="V90" s="284">
        <v>493.95</v>
      </c>
      <c r="W90" s="284">
        <v>827.7</v>
      </c>
      <c r="X90" s="284">
        <v>2391.21</v>
      </c>
      <c r="Y90" s="284">
        <v>0</v>
      </c>
      <c r="Z90" s="284">
        <v>0</v>
      </c>
      <c r="AA90" s="284">
        <v>51.56</v>
      </c>
      <c r="AB90" s="284">
        <v>18.739999999999998</v>
      </c>
      <c r="AC90" s="284">
        <v>5708.98</v>
      </c>
      <c r="AD90" s="284">
        <v>1511.5</v>
      </c>
      <c r="AE90" s="284">
        <v>569.17999999999995</v>
      </c>
      <c r="AF90" s="284">
        <v>149.72</v>
      </c>
      <c r="AG90" s="284">
        <v>132.41999999999999</v>
      </c>
      <c r="AH90" s="284">
        <v>110.69</v>
      </c>
      <c r="AI90" s="284">
        <v>487.22</v>
      </c>
      <c r="AJ90" s="284">
        <v>935.69</v>
      </c>
      <c r="AK90" s="284">
        <v>0</v>
      </c>
      <c r="AL90" s="284">
        <v>64.64</v>
      </c>
      <c r="AM90" s="284">
        <v>32.29</v>
      </c>
      <c r="AN90" s="284">
        <v>18.91</v>
      </c>
      <c r="AO90" s="284">
        <v>582.96</v>
      </c>
      <c r="AP90" s="284">
        <v>1878.62</v>
      </c>
      <c r="AQ90" s="284">
        <v>1221.32</v>
      </c>
      <c r="AR90" s="284">
        <v>0</v>
      </c>
      <c r="AS90" s="284">
        <v>0</v>
      </c>
      <c r="AT90" s="284">
        <v>0</v>
      </c>
      <c r="AU90" s="284">
        <v>0</v>
      </c>
      <c r="AV90" s="284">
        <v>0</v>
      </c>
      <c r="AW90" s="284">
        <v>0</v>
      </c>
      <c r="AX90" s="284">
        <v>0</v>
      </c>
      <c r="AY90" s="284">
        <v>0</v>
      </c>
      <c r="AZ90" s="284">
        <v>0</v>
      </c>
      <c r="BA90" s="284">
        <v>0</v>
      </c>
      <c r="BB90" s="284">
        <v>0</v>
      </c>
      <c r="BC90" s="284">
        <v>0</v>
      </c>
      <c r="BD90" s="284">
        <v>0</v>
      </c>
      <c r="BE90" s="284">
        <v>0</v>
      </c>
      <c r="BF90" s="284">
        <v>0</v>
      </c>
      <c r="BG90" s="284">
        <v>0</v>
      </c>
      <c r="BH90" s="284">
        <v>54026.99</v>
      </c>
    </row>
    <row r="91" spans="1:60">
      <c r="A91" s="187" t="s">
        <v>167</v>
      </c>
      <c r="B91" s="284">
        <v>0</v>
      </c>
      <c r="C91" s="284">
        <v>4169.43</v>
      </c>
      <c r="D91" s="284">
        <v>1353.3</v>
      </c>
      <c r="E91" s="284">
        <v>55.49</v>
      </c>
      <c r="F91" s="284">
        <v>302.98</v>
      </c>
      <c r="G91" s="284">
        <v>122.91</v>
      </c>
      <c r="H91" s="284">
        <v>434.48</v>
      </c>
      <c r="I91" s="284">
        <v>781.94</v>
      </c>
      <c r="J91" s="284">
        <v>1811</v>
      </c>
      <c r="K91" s="284">
        <v>778.69</v>
      </c>
      <c r="L91" s="284">
        <v>118.87</v>
      </c>
      <c r="M91" s="284">
        <v>449.06</v>
      </c>
      <c r="N91" s="284">
        <v>766.11</v>
      </c>
      <c r="O91" s="284">
        <v>244.24</v>
      </c>
      <c r="P91" s="284">
        <v>51.22</v>
      </c>
      <c r="Q91" s="284">
        <v>272.10000000000002</v>
      </c>
      <c r="R91" s="284">
        <v>0</v>
      </c>
      <c r="S91" s="284">
        <v>0</v>
      </c>
      <c r="T91" s="284">
        <v>0</v>
      </c>
      <c r="U91" s="284">
        <v>17.2</v>
      </c>
      <c r="V91" s="284">
        <v>229.5</v>
      </c>
      <c r="W91" s="284">
        <v>312.01</v>
      </c>
      <c r="X91" s="284">
        <v>0</v>
      </c>
      <c r="Y91" s="284">
        <v>0</v>
      </c>
      <c r="Z91" s="284">
        <v>0</v>
      </c>
      <c r="AA91" s="284">
        <v>21.73</v>
      </c>
      <c r="AB91" s="284">
        <v>8.0500000000000007</v>
      </c>
      <c r="AC91" s="284">
        <v>1148.58</v>
      </c>
      <c r="AD91" s="284">
        <v>315.92</v>
      </c>
      <c r="AE91" s="284">
        <v>92.53</v>
      </c>
      <c r="AF91" s="284">
        <v>51.58</v>
      </c>
      <c r="AG91" s="284">
        <v>46.16</v>
      </c>
      <c r="AH91" s="284">
        <v>37.74</v>
      </c>
      <c r="AI91" s="284">
        <v>164.92</v>
      </c>
      <c r="AJ91" s="284">
        <v>81.84</v>
      </c>
      <c r="AK91" s="284">
        <v>0</v>
      </c>
      <c r="AL91" s="284">
        <v>93.85</v>
      </c>
      <c r="AM91" s="284">
        <v>12.48</v>
      </c>
      <c r="AN91" s="284">
        <v>33.07</v>
      </c>
      <c r="AO91" s="284">
        <v>221.76</v>
      </c>
      <c r="AP91" s="284">
        <v>755.14</v>
      </c>
      <c r="AQ91" s="284">
        <v>29.44</v>
      </c>
      <c r="AR91" s="284">
        <v>0</v>
      </c>
      <c r="AS91" s="284">
        <v>0</v>
      </c>
      <c r="AT91" s="284">
        <v>0</v>
      </c>
      <c r="AU91" s="284">
        <v>0</v>
      </c>
      <c r="AV91" s="284">
        <v>0</v>
      </c>
      <c r="AW91" s="284">
        <v>0</v>
      </c>
      <c r="AX91" s="284">
        <v>0</v>
      </c>
      <c r="AY91" s="284">
        <v>0</v>
      </c>
      <c r="AZ91" s="284">
        <v>0</v>
      </c>
      <c r="BA91" s="284">
        <v>0</v>
      </c>
      <c r="BB91" s="284">
        <v>0</v>
      </c>
      <c r="BC91" s="284">
        <v>0</v>
      </c>
      <c r="BD91" s="284">
        <v>0</v>
      </c>
      <c r="BE91" s="284">
        <v>0</v>
      </c>
      <c r="BF91" s="284">
        <v>0</v>
      </c>
      <c r="BG91" s="284">
        <v>0</v>
      </c>
      <c r="BH91" s="284">
        <v>15492</v>
      </c>
    </row>
    <row r="92" spans="1:60">
      <c r="A92" s="192" t="s">
        <v>168</v>
      </c>
      <c r="B92" s="193">
        <v>0</v>
      </c>
      <c r="C92" s="193">
        <v>15524.46</v>
      </c>
      <c r="D92" s="193">
        <v>2710.52</v>
      </c>
      <c r="E92" s="193">
        <v>262.98</v>
      </c>
      <c r="F92" s="193">
        <v>1171.26</v>
      </c>
      <c r="G92" s="193">
        <v>433.7</v>
      </c>
      <c r="H92" s="193">
        <v>4815.96</v>
      </c>
      <c r="I92" s="193">
        <v>3038.57</v>
      </c>
      <c r="J92" s="193">
        <v>6803.85</v>
      </c>
      <c r="K92" s="193">
        <v>2920.76</v>
      </c>
      <c r="L92" s="193">
        <v>450.29</v>
      </c>
      <c r="M92" s="193">
        <v>1711.31</v>
      </c>
      <c r="N92" s="193">
        <v>3707.6</v>
      </c>
      <c r="O92" s="193">
        <v>928.91</v>
      </c>
      <c r="P92" s="193">
        <v>185.39</v>
      </c>
      <c r="Q92" s="193">
        <v>1033.56</v>
      </c>
      <c r="R92" s="193">
        <v>0</v>
      </c>
      <c r="S92" s="193">
        <v>0</v>
      </c>
      <c r="T92" s="193">
        <v>2483.2199999999998</v>
      </c>
      <c r="U92" s="193">
        <v>25.04</v>
      </c>
      <c r="V92" s="193">
        <v>723.45</v>
      </c>
      <c r="W92" s="193">
        <v>1139.71</v>
      </c>
      <c r="X92" s="193">
        <v>2391.21</v>
      </c>
      <c r="Y92" s="193">
        <v>0</v>
      </c>
      <c r="Z92" s="193">
        <v>0</v>
      </c>
      <c r="AA92" s="193">
        <v>73.290000000000006</v>
      </c>
      <c r="AB92" s="193">
        <v>26.79</v>
      </c>
      <c r="AC92" s="193">
        <v>6857.56</v>
      </c>
      <c r="AD92" s="193">
        <v>1827.42</v>
      </c>
      <c r="AE92" s="193">
        <v>661.71</v>
      </c>
      <c r="AF92" s="193">
        <v>201.3</v>
      </c>
      <c r="AG92" s="193">
        <v>178.58</v>
      </c>
      <c r="AH92" s="193">
        <v>148.43</v>
      </c>
      <c r="AI92" s="193">
        <v>652.14</v>
      </c>
      <c r="AJ92" s="193">
        <v>1017.53</v>
      </c>
      <c r="AK92" s="193">
        <v>0</v>
      </c>
      <c r="AL92" s="193">
        <v>158.49</v>
      </c>
      <c r="AM92" s="193">
        <v>44.77</v>
      </c>
      <c r="AN92" s="193">
        <v>51.98</v>
      </c>
      <c r="AO92" s="193">
        <v>804.72</v>
      </c>
      <c r="AP92" s="193">
        <v>2633.76</v>
      </c>
      <c r="AQ92" s="193">
        <v>1250.76</v>
      </c>
      <c r="AR92" s="193">
        <v>0</v>
      </c>
      <c r="AS92" s="193">
        <v>0</v>
      </c>
      <c r="AT92" s="193">
        <v>0</v>
      </c>
      <c r="AU92" s="193">
        <v>0</v>
      </c>
      <c r="AV92" s="193">
        <v>0</v>
      </c>
      <c r="AW92" s="193">
        <v>0</v>
      </c>
      <c r="AX92" s="193">
        <v>0</v>
      </c>
      <c r="AY92" s="193">
        <v>0</v>
      </c>
      <c r="AZ92" s="193">
        <v>0</v>
      </c>
      <c r="BA92" s="193">
        <v>0</v>
      </c>
      <c r="BB92" s="193">
        <v>0</v>
      </c>
      <c r="BC92" s="193">
        <v>0</v>
      </c>
      <c r="BD92" s="193">
        <v>0</v>
      </c>
      <c r="BE92" s="193">
        <v>0</v>
      </c>
      <c r="BF92" s="193">
        <v>0</v>
      </c>
      <c r="BG92" s="193">
        <v>0</v>
      </c>
      <c r="BH92" s="193">
        <v>69518.990000000005</v>
      </c>
    </row>
    <row r="93" spans="1:60">
      <c r="A93" s="191" t="s">
        <v>169</v>
      </c>
      <c r="B93" s="191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  <c r="AF93" s="191"/>
      <c r="AG93" s="191"/>
      <c r="AH93" s="191"/>
      <c r="AI93" s="191"/>
      <c r="AJ93" s="191"/>
      <c r="AK93" s="191"/>
      <c r="AL93" s="191"/>
      <c r="AM93" s="191"/>
      <c r="AN93" s="191"/>
      <c r="AO93" s="191"/>
      <c r="AP93" s="191"/>
      <c r="AQ93" s="191"/>
      <c r="AR93" s="191"/>
      <c r="AS93" s="191"/>
      <c r="AT93" s="191"/>
      <c r="AU93" s="191"/>
      <c r="AV93" s="191"/>
      <c r="AW93" s="191"/>
      <c r="AX93" s="191"/>
      <c r="AY93" s="191"/>
      <c r="AZ93" s="191"/>
      <c r="BA93" s="191"/>
      <c r="BB93" s="191"/>
      <c r="BC93" s="191"/>
      <c r="BD93" s="191"/>
      <c r="BE93" s="191"/>
      <c r="BF93" s="191"/>
      <c r="BG93" s="191"/>
      <c r="BH93" s="191"/>
    </row>
    <row r="94" spans="1:60">
      <c r="A94" s="187" t="s">
        <v>170</v>
      </c>
      <c r="B94" s="284">
        <v>0</v>
      </c>
      <c r="C94" s="284">
        <v>1476.12</v>
      </c>
      <c r="D94" s="284">
        <v>906.98</v>
      </c>
      <c r="E94" s="284">
        <v>0</v>
      </c>
      <c r="F94" s="284">
        <v>0</v>
      </c>
      <c r="G94" s="284">
        <v>137.08000000000001</v>
      </c>
      <c r="H94" s="284">
        <v>146.65</v>
      </c>
      <c r="I94" s="284">
        <v>0</v>
      </c>
      <c r="J94" s="284">
        <v>0</v>
      </c>
      <c r="K94" s="284">
        <v>5441.88</v>
      </c>
      <c r="L94" s="284">
        <v>0</v>
      </c>
      <c r="M94" s="284">
        <v>0</v>
      </c>
      <c r="N94" s="284">
        <v>3099.97</v>
      </c>
      <c r="O94" s="284">
        <v>0</v>
      </c>
      <c r="P94" s="284">
        <v>0</v>
      </c>
      <c r="Q94" s="284">
        <v>0</v>
      </c>
      <c r="R94" s="284">
        <v>0</v>
      </c>
      <c r="S94" s="284">
        <v>0</v>
      </c>
      <c r="T94" s="284">
        <v>0</v>
      </c>
      <c r="U94" s="284">
        <v>0</v>
      </c>
      <c r="V94" s="284">
        <v>20.66</v>
      </c>
      <c r="W94" s="284">
        <v>0</v>
      </c>
      <c r="X94" s="284">
        <v>700</v>
      </c>
      <c r="Y94" s="284">
        <v>0</v>
      </c>
      <c r="Z94" s="284">
        <v>0</v>
      </c>
      <c r="AA94" s="284">
        <v>0</v>
      </c>
      <c r="AB94" s="284">
        <v>0</v>
      </c>
      <c r="AC94" s="284">
        <v>0</v>
      </c>
      <c r="AD94" s="284">
        <v>0</v>
      </c>
      <c r="AE94" s="284">
        <v>0</v>
      </c>
      <c r="AF94" s="284">
        <v>0</v>
      </c>
      <c r="AG94" s="284">
        <v>0</v>
      </c>
      <c r="AH94" s="284">
        <v>0</v>
      </c>
      <c r="AI94" s="284">
        <v>0</v>
      </c>
      <c r="AJ94" s="284">
        <v>0</v>
      </c>
      <c r="AK94" s="284">
        <v>0</v>
      </c>
      <c r="AL94" s="284">
        <v>0</v>
      </c>
      <c r="AM94" s="284">
        <v>0</v>
      </c>
      <c r="AN94" s="284">
        <v>0</v>
      </c>
      <c r="AO94" s="284">
        <v>0</v>
      </c>
      <c r="AP94" s="284">
        <v>-20.66</v>
      </c>
      <c r="AQ94" s="284">
        <v>0</v>
      </c>
      <c r="AR94" s="284">
        <v>0</v>
      </c>
      <c r="AS94" s="284">
        <v>0</v>
      </c>
      <c r="AT94" s="284">
        <v>0</v>
      </c>
      <c r="AU94" s="284">
        <v>0</v>
      </c>
      <c r="AV94" s="284">
        <v>0</v>
      </c>
      <c r="AW94" s="284">
        <v>0</v>
      </c>
      <c r="AX94" s="284">
        <v>0</v>
      </c>
      <c r="AY94" s="284">
        <v>0</v>
      </c>
      <c r="AZ94" s="284">
        <v>0</v>
      </c>
      <c r="BA94" s="284">
        <v>0</v>
      </c>
      <c r="BB94" s="284">
        <v>0</v>
      </c>
      <c r="BC94" s="284">
        <v>0</v>
      </c>
      <c r="BD94" s="284">
        <v>0</v>
      </c>
      <c r="BE94" s="284">
        <v>0</v>
      </c>
      <c r="BF94" s="284">
        <v>0</v>
      </c>
      <c r="BG94" s="284">
        <v>0</v>
      </c>
      <c r="BH94" s="284">
        <v>11908.68</v>
      </c>
    </row>
    <row r="95" spans="1:60">
      <c r="A95" s="187" t="s">
        <v>255</v>
      </c>
      <c r="B95" s="284">
        <v>0</v>
      </c>
      <c r="C95" s="284">
        <v>73</v>
      </c>
      <c r="D95" s="284">
        <v>0</v>
      </c>
      <c r="E95" s="284">
        <v>0</v>
      </c>
      <c r="F95" s="284">
        <v>0</v>
      </c>
      <c r="G95" s="284">
        <v>0</v>
      </c>
      <c r="H95" s="284">
        <v>0</v>
      </c>
      <c r="I95" s="284">
        <v>0</v>
      </c>
      <c r="J95" s="284">
        <v>0</v>
      </c>
      <c r="K95" s="284">
        <v>0</v>
      </c>
      <c r="L95" s="284">
        <v>0</v>
      </c>
      <c r="M95" s="284">
        <v>0</v>
      </c>
      <c r="N95" s="284">
        <v>0</v>
      </c>
      <c r="O95" s="284">
        <v>0</v>
      </c>
      <c r="P95" s="284">
        <v>0</v>
      </c>
      <c r="Q95" s="284">
        <v>0</v>
      </c>
      <c r="R95" s="284">
        <v>0</v>
      </c>
      <c r="S95" s="284">
        <v>0</v>
      </c>
      <c r="T95" s="284">
        <v>0</v>
      </c>
      <c r="U95" s="284">
        <v>0</v>
      </c>
      <c r="V95" s="284">
        <v>0</v>
      </c>
      <c r="W95" s="284">
        <v>0</v>
      </c>
      <c r="X95" s="284">
        <v>0</v>
      </c>
      <c r="Y95" s="284">
        <v>0</v>
      </c>
      <c r="Z95" s="284">
        <v>0</v>
      </c>
      <c r="AA95" s="284">
        <v>0</v>
      </c>
      <c r="AB95" s="284">
        <v>0</v>
      </c>
      <c r="AC95" s="284">
        <v>0</v>
      </c>
      <c r="AD95" s="284">
        <v>0</v>
      </c>
      <c r="AE95" s="284">
        <v>0</v>
      </c>
      <c r="AF95" s="284">
        <v>0</v>
      </c>
      <c r="AG95" s="284">
        <v>0</v>
      </c>
      <c r="AH95" s="284">
        <v>0</v>
      </c>
      <c r="AI95" s="284">
        <v>0</v>
      </c>
      <c r="AJ95" s="284">
        <v>0</v>
      </c>
      <c r="AK95" s="284">
        <v>0</v>
      </c>
      <c r="AL95" s="284">
        <v>0</v>
      </c>
      <c r="AM95" s="284">
        <v>0</v>
      </c>
      <c r="AN95" s="284">
        <v>0</v>
      </c>
      <c r="AO95" s="284">
        <v>0</v>
      </c>
      <c r="AP95" s="284">
        <v>0</v>
      </c>
      <c r="AQ95" s="284">
        <v>0</v>
      </c>
      <c r="AR95" s="284">
        <v>5.1100000000000003</v>
      </c>
      <c r="AS95" s="284">
        <v>0</v>
      </c>
      <c r="AT95" s="284">
        <v>0</v>
      </c>
      <c r="AU95" s="284">
        <v>0</v>
      </c>
      <c r="AV95" s="284">
        <v>0</v>
      </c>
      <c r="AW95" s="284">
        <v>0</v>
      </c>
      <c r="AX95" s="284">
        <v>0</v>
      </c>
      <c r="AY95" s="284">
        <v>0</v>
      </c>
      <c r="AZ95" s="284">
        <v>0</v>
      </c>
      <c r="BA95" s="284">
        <v>0</v>
      </c>
      <c r="BB95" s="284">
        <v>0</v>
      </c>
      <c r="BC95" s="284">
        <v>0</v>
      </c>
      <c r="BD95" s="284">
        <v>0</v>
      </c>
      <c r="BE95" s="284">
        <v>0</v>
      </c>
      <c r="BF95" s="284">
        <v>0</v>
      </c>
      <c r="BG95" s="284">
        <v>0</v>
      </c>
      <c r="BH95" s="284">
        <v>78.11</v>
      </c>
    </row>
    <row r="96" spans="1:60">
      <c r="A96" s="187" t="s">
        <v>171</v>
      </c>
      <c r="B96" s="284">
        <v>0</v>
      </c>
      <c r="C96" s="284">
        <v>270.77999999999997</v>
      </c>
      <c r="D96" s="284">
        <v>356.9</v>
      </c>
      <c r="E96" s="284">
        <v>6.38</v>
      </c>
      <c r="F96" s="284">
        <v>162.72</v>
      </c>
      <c r="G96" s="284">
        <v>71.92</v>
      </c>
      <c r="H96" s="284">
        <v>204.04</v>
      </c>
      <c r="I96" s="284">
        <v>439</v>
      </c>
      <c r="J96" s="284">
        <v>1056.8599999999999</v>
      </c>
      <c r="K96" s="284">
        <v>460.57</v>
      </c>
      <c r="L96" s="284">
        <v>73.37</v>
      </c>
      <c r="M96" s="284">
        <v>236.81</v>
      </c>
      <c r="N96" s="284">
        <v>415.43</v>
      </c>
      <c r="O96" s="284">
        <v>129.04</v>
      </c>
      <c r="P96" s="284">
        <v>26.4</v>
      </c>
      <c r="Q96" s="284">
        <v>143.79</v>
      </c>
      <c r="R96" s="284">
        <v>0</v>
      </c>
      <c r="S96" s="284">
        <v>0</v>
      </c>
      <c r="T96" s="284">
        <v>617.55999999999995</v>
      </c>
      <c r="U96" s="284">
        <v>12.37</v>
      </c>
      <c r="V96" s="284">
        <v>122.54</v>
      </c>
      <c r="W96" s="284">
        <v>214.36</v>
      </c>
      <c r="X96" s="284">
        <v>1479.52</v>
      </c>
      <c r="Y96" s="284">
        <v>0</v>
      </c>
      <c r="Z96" s="284">
        <v>0</v>
      </c>
      <c r="AA96" s="284">
        <v>13.23</v>
      </c>
      <c r="AB96" s="284">
        <v>5.57</v>
      </c>
      <c r="AC96" s="284">
        <v>608.83000000000004</v>
      </c>
      <c r="AD96" s="284">
        <v>153.58000000000001</v>
      </c>
      <c r="AE96" s="284">
        <v>69.91</v>
      </c>
      <c r="AF96" s="284">
        <v>30.21</v>
      </c>
      <c r="AG96" s="284">
        <v>25.99</v>
      </c>
      <c r="AH96" s="284">
        <v>20.58</v>
      </c>
      <c r="AI96" s="284">
        <v>107.85</v>
      </c>
      <c r="AJ96" s="284">
        <v>54.94</v>
      </c>
      <c r="AK96" s="284">
        <v>0</v>
      </c>
      <c r="AL96" s="284">
        <v>54.16</v>
      </c>
      <c r="AM96" s="284">
        <v>8.02</v>
      </c>
      <c r="AN96" s="284">
        <v>20.93</v>
      </c>
      <c r="AO96" s="284">
        <v>119.44</v>
      </c>
      <c r="AP96" s="284">
        <v>371.38</v>
      </c>
      <c r="AQ96" s="284">
        <v>19.96</v>
      </c>
      <c r="AR96" s="284">
        <v>214</v>
      </c>
      <c r="AS96" s="284">
        <v>0</v>
      </c>
      <c r="AT96" s="284">
        <v>0</v>
      </c>
      <c r="AU96" s="284">
        <v>0</v>
      </c>
      <c r="AV96" s="284">
        <v>0</v>
      </c>
      <c r="AW96" s="284">
        <v>0</v>
      </c>
      <c r="AX96" s="284">
        <v>0</v>
      </c>
      <c r="AY96" s="284">
        <v>0</v>
      </c>
      <c r="AZ96" s="284">
        <v>0</v>
      </c>
      <c r="BA96" s="284">
        <v>0</v>
      </c>
      <c r="BB96" s="284">
        <v>0</v>
      </c>
      <c r="BC96" s="284">
        <v>0</v>
      </c>
      <c r="BD96" s="284">
        <v>0</v>
      </c>
      <c r="BE96" s="284">
        <v>0</v>
      </c>
      <c r="BF96" s="284">
        <v>0</v>
      </c>
      <c r="BG96" s="284">
        <v>0</v>
      </c>
      <c r="BH96" s="284">
        <v>8452.58</v>
      </c>
    </row>
    <row r="97" spans="1:60">
      <c r="A97" s="192" t="s">
        <v>172</v>
      </c>
      <c r="B97" s="193">
        <v>0</v>
      </c>
      <c r="C97" s="193">
        <v>1819.9</v>
      </c>
      <c r="D97" s="193">
        <v>1263.8800000000001</v>
      </c>
      <c r="E97" s="193">
        <v>6.38</v>
      </c>
      <c r="F97" s="193">
        <v>162.72</v>
      </c>
      <c r="G97" s="193">
        <v>209</v>
      </c>
      <c r="H97" s="193">
        <v>350.69</v>
      </c>
      <c r="I97" s="193">
        <v>439</v>
      </c>
      <c r="J97" s="193">
        <v>1056.8599999999999</v>
      </c>
      <c r="K97" s="193">
        <v>5902.45</v>
      </c>
      <c r="L97" s="193">
        <v>73.37</v>
      </c>
      <c r="M97" s="193">
        <v>236.81</v>
      </c>
      <c r="N97" s="193">
        <v>3515.4</v>
      </c>
      <c r="O97" s="193">
        <v>129.04</v>
      </c>
      <c r="P97" s="193">
        <v>26.4</v>
      </c>
      <c r="Q97" s="193">
        <v>143.79</v>
      </c>
      <c r="R97" s="193">
        <v>0</v>
      </c>
      <c r="S97" s="193">
        <v>0</v>
      </c>
      <c r="T97" s="193">
        <v>617.55999999999995</v>
      </c>
      <c r="U97" s="193">
        <v>12.37</v>
      </c>
      <c r="V97" s="193">
        <v>143.19999999999999</v>
      </c>
      <c r="W97" s="193">
        <v>214.36</v>
      </c>
      <c r="X97" s="193">
        <v>2179.52</v>
      </c>
      <c r="Y97" s="193">
        <v>0</v>
      </c>
      <c r="Z97" s="193">
        <v>0</v>
      </c>
      <c r="AA97" s="193">
        <v>13.23</v>
      </c>
      <c r="AB97" s="193">
        <v>5.57</v>
      </c>
      <c r="AC97" s="193">
        <v>608.83000000000004</v>
      </c>
      <c r="AD97" s="193">
        <v>153.58000000000001</v>
      </c>
      <c r="AE97" s="193">
        <v>69.91</v>
      </c>
      <c r="AF97" s="193">
        <v>30.21</v>
      </c>
      <c r="AG97" s="193">
        <v>25.99</v>
      </c>
      <c r="AH97" s="193">
        <v>20.58</v>
      </c>
      <c r="AI97" s="193">
        <v>107.85</v>
      </c>
      <c r="AJ97" s="193">
        <v>54.94</v>
      </c>
      <c r="AK97" s="193">
        <v>0</v>
      </c>
      <c r="AL97" s="193">
        <v>54.16</v>
      </c>
      <c r="AM97" s="193">
        <v>8.02</v>
      </c>
      <c r="AN97" s="193">
        <v>20.93</v>
      </c>
      <c r="AO97" s="193">
        <v>119.44</v>
      </c>
      <c r="AP97" s="193">
        <v>350.72</v>
      </c>
      <c r="AQ97" s="193">
        <v>19.96</v>
      </c>
      <c r="AR97" s="193">
        <v>219.11</v>
      </c>
      <c r="AS97" s="193">
        <v>0</v>
      </c>
      <c r="AT97" s="193">
        <v>0</v>
      </c>
      <c r="AU97" s="193">
        <v>0</v>
      </c>
      <c r="AV97" s="193">
        <v>0</v>
      </c>
      <c r="AW97" s="193">
        <v>0</v>
      </c>
      <c r="AX97" s="193">
        <v>0</v>
      </c>
      <c r="AY97" s="193">
        <v>0</v>
      </c>
      <c r="AZ97" s="193">
        <v>0</v>
      </c>
      <c r="BA97" s="193">
        <v>0</v>
      </c>
      <c r="BB97" s="193">
        <v>0</v>
      </c>
      <c r="BC97" s="193">
        <v>0</v>
      </c>
      <c r="BD97" s="193">
        <v>0</v>
      </c>
      <c r="BE97" s="193">
        <v>0</v>
      </c>
      <c r="BF97" s="193">
        <v>0</v>
      </c>
      <c r="BG97" s="193">
        <v>0</v>
      </c>
      <c r="BH97" s="193">
        <v>20439.37</v>
      </c>
    </row>
    <row r="98" spans="1:60">
      <c r="A98" s="187" t="s">
        <v>173</v>
      </c>
      <c r="B98" s="284">
        <v>0</v>
      </c>
      <c r="C98" s="284">
        <v>7289.75</v>
      </c>
      <c r="D98" s="284">
        <v>236</v>
      </c>
      <c r="E98" s="284">
        <v>0</v>
      </c>
      <c r="F98" s="284">
        <v>0</v>
      </c>
      <c r="G98" s="284">
        <v>120</v>
      </c>
      <c r="H98" s="284">
        <v>0</v>
      </c>
      <c r="I98" s="284">
        <v>0</v>
      </c>
      <c r="J98" s="284">
        <v>0</v>
      </c>
      <c r="K98" s="284">
        <v>0</v>
      </c>
      <c r="L98" s="284">
        <v>0</v>
      </c>
      <c r="M98" s="284">
        <v>0</v>
      </c>
      <c r="N98" s="284">
        <v>0</v>
      </c>
      <c r="O98" s="284">
        <v>0</v>
      </c>
      <c r="P98" s="284">
        <v>0</v>
      </c>
      <c r="Q98" s="284">
        <v>0</v>
      </c>
      <c r="R98" s="284">
        <v>0</v>
      </c>
      <c r="S98" s="284">
        <v>0</v>
      </c>
      <c r="T98" s="284">
        <v>0</v>
      </c>
      <c r="U98" s="284">
        <v>0</v>
      </c>
      <c r="V98" s="284">
        <v>6.17</v>
      </c>
      <c r="W98" s="284">
        <v>0</v>
      </c>
      <c r="X98" s="284">
        <v>0</v>
      </c>
      <c r="Y98" s="284">
        <v>0</v>
      </c>
      <c r="Z98" s="284">
        <v>0</v>
      </c>
      <c r="AA98" s="284">
        <v>0</v>
      </c>
      <c r="AB98" s="284">
        <v>0</v>
      </c>
      <c r="AC98" s="284">
        <v>0</v>
      </c>
      <c r="AD98" s="284">
        <v>0</v>
      </c>
      <c r="AE98" s="284">
        <v>0</v>
      </c>
      <c r="AF98" s="284">
        <v>0</v>
      </c>
      <c r="AG98" s="284">
        <v>0</v>
      </c>
      <c r="AH98" s="284">
        <v>0</v>
      </c>
      <c r="AI98" s="284">
        <v>0</v>
      </c>
      <c r="AJ98" s="284">
        <v>0</v>
      </c>
      <c r="AK98" s="284">
        <v>0</v>
      </c>
      <c r="AL98" s="284">
        <v>0</v>
      </c>
      <c r="AM98" s="284">
        <v>0</v>
      </c>
      <c r="AN98" s="284">
        <v>0</v>
      </c>
      <c r="AO98" s="284">
        <v>0</v>
      </c>
      <c r="AP98" s="284">
        <v>81.83</v>
      </c>
      <c r="AQ98" s="284">
        <v>0</v>
      </c>
      <c r="AR98" s="284">
        <v>3132</v>
      </c>
      <c r="AS98" s="284">
        <v>0</v>
      </c>
      <c r="AT98" s="284">
        <v>0</v>
      </c>
      <c r="AU98" s="284">
        <v>0</v>
      </c>
      <c r="AV98" s="284">
        <v>0</v>
      </c>
      <c r="AW98" s="284">
        <v>0</v>
      </c>
      <c r="AX98" s="284">
        <v>0</v>
      </c>
      <c r="AY98" s="284">
        <v>0</v>
      </c>
      <c r="AZ98" s="284">
        <v>0</v>
      </c>
      <c r="BA98" s="284">
        <v>0</v>
      </c>
      <c r="BB98" s="284">
        <v>0</v>
      </c>
      <c r="BC98" s="284">
        <v>0</v>
      </c>
      <c r="BD98" s="284">
        <v>0</v>
      </c>
      <c r="BE98" s="284">
        <v>0</v>
      </c>
      <c r="BF98" s="284">
        <v>0</v>
      </c>
      <c r="BG98" s="284">
        <v>0</v>
      </c>
      <c r="BH98" s="284">
        <v>10865.75</v>
      </c>
    </row>
    <row r="99" spans="1:60">
      <c r="A99" s="191" t="s">
        <v>174</v>
      </c>
      <c r="B99" s="191"/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1"/>
      <c r="AQ99" s="191"/>
      <c r="AR99" s="191"/>
      <c r="AS99" s="191"/>
      <c r="AT99" s="191"/>
      <c r="AU99" s="191"/>
      <c r="AV99" s="191"/>
      <c r="AW99" s="191"/>
      <c r="AX99" s="191"/>
      <c r="AY99" s="191"/>
      <c r="AZ99" s="191"/>
      <c r="BA99" s="191"/>
      <c r="BB99" s="191"/>
      <c r="BC99" s="191"/>
      <c r="BD99" s="191"/>
      <c r="BE99" s="191"/>
      <c r="BF99" s="191"/>
      <c r="BG99" s="191"/>
      <c r="BH99" s="191"/>
    </row>
    <row r="100" spans="1:60">
      <c r="A100" s="187" t="s">
        <v>175</v>
      </c>
      <c r="B100" s="284">
        <v>0</v>
      </c>
      <c r="C100" s="284">
        <v>915.47</v>
      </c>
      <c r="D100" s="284">
        <v>368.38</v>
      </c>
      <c r="E100" s="284">
        <v>73.48</v>
      </c>
      <c r="F100" s="284">
        <v>138.66999999999999</v>
      </c>
      <c r="G100" s="284">
        <v>88.26</v>
      </c>
      <c r="H100" s="284">
        <v>240.6</v>
      </c>
      <c r="I100" s="284">
        <v>420.54</v>
      </c>
      <c r="J100" s="284">
        <v>1231.6500000000001</v>
      </c>
      <c r="K100" s="284">
        <v>513.12</v>
      </c>
      <c r="L100" s="284">
        <v>70.53</v>
      </c>
      <c r="M100" s="284">
        <v>230.54</v>
      </c>
      <c r="N100" s="284">
        <v>475.62</v>
      </c>
      <c r="O100" s="284">
        <v>134.34</v>
      </c>
      <c r="P100" s="284">
        <v>32.6</v>
      </c>
      <c r="Q100" s="284">
        <v>153.41</v>
      </c>
      <c r="R100" s="284">
        <v>0</v>
      </c>
      <c r="S100" s="284">
        <v>0</v>
      </c>
      <c r="T100" s="284">
        <v>753.05</v>
      </c>
      <c r="U100" s="284">
        <v>15.77</v>
      </c>
      <c r="V100" s="284">
        <v>127.37</v>
      </c>
      <c r="W100" s="284">
        <v>149.16</v>
      </c>
      <c r="X100" s="284">
        <v>1339.82</v>
      </c>
      <c r="Y100" s="284">
        <v>0</v>
      </c>
      <c r="Z100" s="284">
        <v>0</v>
      </c>
      <c r="AA100" s="284">
        <v>17.260000000000002</v>
      </c>
      <c r="AB100" s="284">
        <v>6.35</v>
      </c>
      <c r="AC100" s="284">
        <v>613.69000000000005</v>
      </c>
      <c r="AD100" s="284">
        <v>145.13999999999999</v>
      </c>
      <c r="AE100" s="284">
        <v>58.32</v>
      </c>
      <c r="AF100" s="284">
        <v>33.840000000000003</v>
      </c>
      <c r="AG100" s="284">
        <v>29.37</v>
      </c>
      <c r="AH100" s="284">
        <v>22.37</v>
      </c>
      <c r="AI100" s="284">
        <v>122.96</v>
      </c>
      <c r="AJ100" s="284">
        <v>64.989999999999995</v>
      </c>
      <c r="AK100" s="284">
        <v>0</v>
      </c>
      <c r="AL100" s="284">
        <v>61.66</v>
      </c>
      <c r="AM100" s="284">
        <v>10.39</v>
      </c>
      <c r="AN100" s="284">
        <v>27.82</v>
      </c>
      <c r="AO100" s="284">
        <v>123.35</v>
      </c>
      <c r="AP100" s="284">
        <v>410.58</v>
      </c>
      <c r="AQ100" s="284">
        <v>44.4</v>
      </c>
      <c r="AR100" s="284">
        <v>0</v>
      </c>
      <c r="AS100" s="284">
        <v>0</v>
      </c>
      <c r="AT100" s="284">
        <v>0</v>
      </c>
      <c r="AU100" s="284">
        <v>0</v>
      </c>
      <c r="AV100" s="284">
        <v>0</v>
      </c>
      <c r="AW100" s="284">
        <v>0</v>
      </c>
      <c r="AX100" s="284">
        <v>0</v>
      </c>
      <c r="AY100" s="284">
        <v>0</v>
      </c>
      <c r="AZ100" s="284">
        <v>0</v>
      </c>
      <c r="BA100" s="284">
        <v>0</v>
      </c>
      <c r="BB100" s="284">
        <v>0</v>
      </c>
      <c r="BC100" s="284">
        <v>0</v>
      </c>
      <c r="BD100" s="284">
        <v>0</v>
      </c>
      <c r="BE100" s="284">
        <v>0</v>
      </c>
      <c r="BF100" s="284">
        <v>0</v>
      </c>
      <c r="BG100" s="284">
        <v>0</v>
      </c>
      <c r="BH100" s="284">
        <v>9315.2999999999993</v>
      </c>
    </row>
    <row r="101" spans="1:60">
      <c r="A101" s="192" t="s">
        <v>176</v>
      </c>
      <c r="B101" s="193">
        <v>0</v>
      </c>
      <c r="C101" s="193">
        <v>915.47</v>
      </c>
      <c r="D101" s="193">
        <v>368.38</v>
      </c>
      <c r="E101" s="193">
        <v>73.48</v>
      </c>
      <c r="F101" s="193">
        <v>138.66999999999999</v>
      </c>
      <c r="G101" s="193">
        <v>88.26</v>
      </c>
      <c r="H101" s="193">
        <v>240.6</v>
      </c>
      <c r="I101" s="193">
        <v>420.54</v>
      </c>
      <c r="J101" s="193">
        <v>1231.6500000000001</v>
      </c>
      <c r="K101" s="193">
        <v>513.12</v>
      </c>
      <c r="L101" s="193">
        <v>70.53</v>
      </c>
      <c r="M101" s="193">
        <v>230.54</v>
      </c>
      <c r="N101" s="193">
        <v>475.62</v>
      </c>
      <c r="O101" s="193">
        <v>134.34</v>
      </c>
      <c r="P101" s="193">
        <v>32.6</v>
      </c>
      <c r="Q101" s="193">
        <v>153.41</v>
      </c>
      <c r="R101" s="193">
        <v>0</v>
      </c>
      <c r="S101" s="193">
        <v>0</v>
      </c>
      <c r="T101" s="193">
        <v>753.05</v>
      </c>
      <c r="U101" s="193">
        <v>15.77</v>
      </c>
      <c r="V101" s="193">
        <v>127.37</v>
      </c>
      <c r="W101" s="193">
        <v>149.16</v>
      </c>
      <c r="X101" s="193">
        <v>1339.82</v>
      </c>
      <c r="Y101" s="193">
        <v>0</v>
      </c>
      <c r="Z101" s="193">
        <v>0</v>
      </c>
      <c r="AA101" s="193">
        <v>17.260000000000002</v>
      </c>
      <c r="AB101" s="193">
        <v>6.35</v>
      </c>
      <c r="AC101" s="193">
        <v>613.69000000000005</v>
      </c>
      <c r="AD101" s="193">
        <v>145.13999999999999</v>
      </c>
      <c r="AE101" s="193">
        <v>58.32</v>
      </c>
      <c r="AF101" s="193">
        <v>33.840000000000003</v>
      </c>
      <c r="AG101" s="193">
        <v>29.37</v>
      </c>
      <c r="AH101" s="193">
        <v>22.37</v>
      </c>
      <c r="AI101" s="193">
        <v>122.96</v>
      </c>
      <c r="AJ101" s="193">
        <v>64.989999999999995</v>
      </c>
      <c r="AK101" s="193">
        <v>0</v>
      </c>
      <c r="AL101" s="193">
        <v>61.66</v>
      </c>
      <c r="AM101" s="193">
        <v>10.39</v>
      </c>
      <c r="AN101" s="193">
        <v>27.82</v>
      </c>
      <c r="AO101" s="193">
        <v>123.35</v>
      </c>
      <c r="AP101" s="193">
        <v>410.58</v>
      </c>
      <c r="AQ101" s="193">
        <v>44.4</v>
      </c>
      <c r="AR101" s="193">
        <v>0</v>
      </c>
      <c r="AS101" s="193">
        <v>0</v>
      </c>
      <c r="AT101" s="193">
        <v>0</v>
      </c>
      <c r="AU101" s="193">
        <v>0</v>
      </c>
      <c r="AV101" s="193">
        <v>0</v>
      </c>
      <c r="AW101" s="193">
        <v>0</v>
      </c>
      <c r="AX101" s="193">
        <v>0</v>
      </c>
      <c r="AY101" s="193">
        <v>0</v>
      </c>
      <c r="AZ101" s="193">
        <v>0</v>
      </c>
      <c r="BA101" s="193">
        <v>0</v>
      </c>
      <c r="BB101" s="193">
        <v>0</v>
      </c>
      <c r="BC101" s="193">
        <v>0</v>
      </c>
      <c r="BD101" s="193">
        <v>0</v>
      </c>
      <c r="BE101" s="193">
        <v>0</v>
      </c>
      <c r="BF101" s="193">
        <v>0</v>
      </c>
      <c r="BG101" s="193">
        <v>0</v>
      </c>
      <c r="BH101" s="193">
        <v>9315.2999999999993</v>
      </c>
    </row>
    <row r="102" spans="1:60">
      <c r="A102" s="191" t="s">
        <v>177</v>
      </c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  <c r="AD102" s="191"/>
      <c r="AE102" s="191"/>
      <c r="AF102" s="191"/>
      <c r="AG102" s="191"/>
      <c r="AH102" s="191"/>
      <c r="AI102" s="191"/>
      <c r="AJ102" s="191"/>
      <c r="AK102" s="191"/>
      <c r="AL102" s="191"/>
      <c r="AM102" s="191"/>
      <c r="AN102" s="191"/>
      <c r="AO102" s="191"/>
      <c r="AP102" s="191"/>
      <c r="AQ102" s="191"/>
      <c r="AR102" s="191"/>
      <c r="AS102" s="191"/>
      <c r="AT102" s="191"/>
      <c r="AU102" s="191"/>
      <c r="AV102" s="191"/>
      <c r="AW102" s="191"/>
      <c r="AX102" s="191"/>
      <c r="AY102" s="191"/>
      <c r="AZ102" s="191"/>
      <c r="BA102" s="191"/>
      <c r="BB102" s="191"/>
      <c r="BC102" s="191"/>
      <c r="BD102" s="191"/>
      <c r="BE102" s="191"/>
      <c r="BF102" s="191"/>
      <c r="BG102" s="191"/>
      <c r="BH102" s="191"/>
    </row>
    <row r="103" spans="1:60">
      <c r="A103" s="187" t="s">
        <v>178</v>
      </c>
      <c r="B103" s="284">
        <v>0</v>
      </c>
      <c r="C103" s="284">
        <v>0</v>
      </c>
      <c r="D103" s="284">
        <v>0</v>
      </c>
      <c r="E103" s="284">
        <v>0</v>
      </c>
      <c r="F103" s="284">
        <v>0</v>
      </c>
      <c r="G103" s="284">
        <v>278</v>
      </c>
      <c r="H103" s="284">
        <v>0</v>
      </c>
      <c r="I103" s="284">
        <v>0</v>
      </c>
      <c r="J103" s="284">
        <v>0</v>
      </c>
      <c r="K103" s="284">
        <v>0</v>
      </c>
      <c r="L103" s="284">
        <v>0</v>
      </c>
      <c r="M103" s="284">
        <v>0</v>
      </c>
      <c r="N103" s="284">
        <v>0</v>
      </c>
      <c r="O103" s="284">
        <v>0</v>
      </c>
      <c r="P103" s="284">
        <v>0</v>
      </c>
      <c r="Q103" s="284">
        <v>0</v>
      </c>
      <c r="R103" s="284">
        <v>0</v>
      </c>
      <c r="S103" s="284">
        <v>0</v>
      </c>
      <c r="T103" s="284">
        <v>0</v>
      </c>
      <c r="U103" s="284">
        <v>0</v>
      </c>
      <c r="V103" s="284">
        <v>0</v>
      </c>
      <c r="W103" s="284">
        <v>0</v>
      </c>
      <c r="X103" s="284">
        <v>0</v>
      </c>
      <c r="Y103" s="284">
        <v>0</v>
      </c>
      <c r="Z103" s="284">
        <v>0</v>
      </c>
      <c r="AA103" s="284">
        <v>0</v>
      </c>
      <c r="AB103" s="284">
        <v>0</v>
      </c>
      <c r="AC103" s="284">
        <v>0</v>
      </c>
      <c r="AD103" s="284">
        <v>0</v>
      </c>
      <c r="AE103" s="284">
        <v>0</v>
      </c>
      <c r="AF103" s="284">
        <v>0</v>
      </c>
      <c r="AG103" s="284">
        <v>0</v>
      </c>
      <c r="AH103" s="284">
        <v>0</v>
      </c>
      <c r="AI103" s="284">
        <v>0</v>
      </c>
      <c r="AJ103" s="284">
        <v>0</v>
      </c>
      <c r="AK103" s="284">
        <v>0</v>
      </c>
      <c r="AL103" s="284">
        <v>0</v>
      </c>
      <c r="AM103" s="284">
        <v>0</v>
      </c>
      <c r="AN103" s="284">
        <v>0</v>
      </c>
      <c r="AO103" s="284">
        <v>0</v>
      </c>
      <c r="AP103" s="284">
        <v>0</v>
      </c>
      <c r="AQ103" s="284">
        <v>0</v>
      </c>
      <c r="AR103" s="284">
        <v>0</v>
      </c>
      <c r="AS103" s="284">
        <v>0</v>
      </c>
      <c r="AT103" s="284">
        <v>0</v>
      </c>
      <c r="AU103" s="284">
        <v>0</v>
      </c>
      <c r="AV103" s="284">
        <v>0</v>
      </c>
      <c r="AW103" s="284">
        <v>0</v>
      </c>
      <c r="AX103" s="284">
        <v>0</v>
      </c>
      <c r="AY103" s="284">
        <v>0</v>
      </c>
      <c r="AZ103" s="284">
        <v>0</v>
      </c>
      <c r="BA103" s="284">
        <v>0</v>
      </c>
      <c r="BB103" s="284">
        <v>0</v>
      </c>
      <c r="BC103" s="284">
        <v>0</v>
      </c>
      <c r="BD103" s="284">
        <v>0</v>
      </c>
      <c r="BE103" s="284">
        <v>0</v>
      </c>
      <c r="BF103" s="284">
        <v>0</v>
      </c>
      <c r="BG103" s="284">
        <v>0</v>
      </c>
      <c r="BH103" s="284">
        <v>278</v>
      </c>
    </row>
    <row r="104" spans="1:60">
      <c r="A104" s="187" t="s">
        <v>179</v>
      </c>
      <c r="B104" s="284">
        <v>0</v>
      </c>
      <c r="C104" s="284">
        <v>435.72</v>
      </c>
      <c r="D104" s="284">
        <v>0</v>
      </c>
      <c r="E104" s="284">
        <v>0</v>
      </c>
      <c r="F104" s="284">
        <v>0</v>
      </c>
      <c r="G104" s="284">
        <v>31.98</v>
      </c>
      <c r="H104" s="284">
        <v>0</v>
      </c>
      <c r="I104" s="284">
        <v>0</v>
      </c>
      <c r="J104" s="284">
        <v>0</v>
      </c>
      <c r="K104" s="284">
        <v>0</v>
      </c>
      <c r="L104" s="284">
        <v>0</v>
      </c>
      <c r="M104" s="284">
        <v>0</v>
      </c>
      <c r="N104" s="284">
        <v>55.96</v>
      </c>
      <c r="O104" s="284">
        <v>0</v>
      </c>
      <c r="P104" s="284">
        <v>0</v>
      </c>
      <c r="Q104" s="284">
        <v>0</v>
      </c>
      <c r="R104" s="284">
        <v>0</v>
      </c>
      <c r="S104" s="284">
        <v>0</v>
      </c>
      <c r="T104" s="284">
        <v>0</v>
      </c>
      <c r="U104" s="284">
        <v>0</v>
      </c>
      <c r="V104" s="284">
        <v>0</v>
      </c>
      <c r="W104" s="284">
        <v>0</v>
      </c>
      <c r="X104" s="284">
        <v>0</v>
      </c>
      <c r="Y104" s="284">
        <v>0</v>
      </c>
      <c r="Z104" s="284">
        <v>0</v>
      </c>
      <c r="AA104" s="284">
        <v>0</v>
      </c>
      <c r="AB104" s="284">
        <v>0</v>
      </c>
      <c r="AC104" s="284">
        <v>25.98</v>
      </c>
      <c r="AD104" s="284">
        <v>0</v>
      </c>
      <c r="AE104" s="284">
        <v>1800</v>
      </c>
      <c r="AF104" s="284">
        <v>0</v>
      </c>
      <c r="AG104" s="284">
        <v>0</v>
      </c>
      <c r="AH104" s="284">
        <v>0</v>
      </c>
      <c r="AI104" s="284">
        <v>0</v>
      </c>
      <c r="AJ104" s="284">
        <v>0</v>
      </c>
      <c r="AK104" s="284">
        <v>0</v>
      </c>
      <c r="AL104" s="284">
        <v>0</v>
      </c>
      <c r="AM104" s="284">
        <v>0</v>
      </c>
      <c r="AN104" s="284">
        <v>0</v>
      </c>
      <c r="AO104" s="284">
        <v>0</v>
      </c>
      <c r="AP104" s="284">
        <v>0</v>
      </c>
      <c r="AQ104" s="284">
        <v>518.78</v>
      </c>
      <c r="AR104" s="284">
        <v>0</v>
      </c>
      <c r="AS104" s="284">
        <v>0</v>
      </c>
      <c r="AT104" s="284">
        <v>0</v>
      </c>
      <c r="AU104" s="284">
        <v>0</v>
      </c>
      <c r="AV104" s="284">
        <v>0</v>
      </c>
      <c r="AW104" s="284">
        <v>0</v>
      </c>
      <c r="AX104" s="284">
        <v>0</v>
      </c>
      <c r="AY104" s="284">
        <v>0</v>
      </c>
      <c r="AZ104" s="284">
        <v>0</v>
      </c>
      <c r="BA104" s="284">
        <v>0</v>
      </c>
      <c r="BB104" s="284">
        <v>0</v>
      </c>
      <c r="BC104" s="284">
        <v>0</v>
      </c>
      <c r="BD104" s="284">
        <v>0</v>
      </c>
      <c r="BE104" s="284">
        <v>0</v>
      </c>
      <c r="BF104" s="284">
        <v>0</v>
      </c>
      <c r="BG104" s="284">
        <v>0</v>
      </c>
      <c r="BH104" s="284">
        <v>2868.42</v>
      </c>
    </row>
    <row r="105" spans="1:60">
      <c r="A105" s="187" t="s">
        <v>180</v>
      </c>
      <c r="B105" s="284">
        <v>0</v>
      </c>
      <c r="C105" s="284">
        <v>165.87</v>
      </c>
      <c r="D105" s="284">
        <v>13.98</v>
      </c>
      <c r="E105" s="284">
        <v>0</v>
      </c>
      <c r="F105" s="284">
        <v>95.03</v>
      </c>
      <c r="G105" s="284">
        <v>24.55</v>
      </c>
      <c r="H105" s="284">
        <v>60.45</v>
      </c>
      <c r="I105" s="284">
        <v>223.76</v>
      </c>
      <c r="J105" s="284">
        <v>496.68</v>
      </c>
      <c r="K105" s="284">
        <v>270.55</v>
      </c>
      <c r="L105" s="284">
        <v>57.62</v>
      </c>
      <c r="M105" s="284">
        <v>62.65</v>
      </c>
      <c r="N105" s="284">
        <v>118.3</v>
      </c>
      <c r="O105" s="284">
        <v>34.729999999999997</v>
      </c>
      <c r="P105" s="284">
        <v>8.59</v>
      </c>
      <c r="Q105" s="284">
        <v>37.729999999999997</v>
      </c>
      <c r="R105" s="284">
        <v>0</v>
      </c>
      <c r="S105" s="284">
        <v>0</v>
      </c>
      <c r="T105" s="284">
        <v>261.08</v>
      </c>
      <c r="U105" s="284">
        <v>5.37</v>
      </c>
      <c r="V105" s="284">
        <v>45.58</v>
      </c>
      <c r="W105" s="284">
        <v>137.24</v>
      </c>
      <c r="X105" s="284">
        <v>651.70000000000005</v>
      </c>
      <c r="Y105" s="284">
        <v>0</v>
      </c>
      <c r="Z105" s="284">
        <v>0</v>
      </c>
      <c r="AA105" s="284">
        <v>4.93</v>
      </c>
      <c r="AB105" s="284">
        <v>1.8</v>
      </c>
      <c r="AC105" s="284">
        <v>147.68</v>
      </c>
      <c r="AD105" s="284">
        <v>29.66</v>
      </c>
      <c r="AE105" s="284">
        <v>95.46</v>
      </c>
      <c r="AF105" s="284">
        <v>9.67</v>
      </c>
      <c r="AG105" s="284">
        <v>7.93</v>
      </c>
      <c r="AH105" s="284">
        <v>5.83</v>
      </c>
      <c r="AI105" s="284">
        <v>40.43</v>
      </c>
      <c r="AJ105" s="284">
        <v>22.28</v>
      </c>
      <c r="AK105" s="284">
        <v>0</v>
      </c>
      <c r="AL105" s="284">
        <v>27.08</v>
      </c>
      <c r="AM105" s="284">
        <v>3.12</v>
      </c>
      <c r="AN105" s="284">
        <v>5.73</v>
      </c>
      <c r="AO105" s="284">
        <v>69.45</v>
      </c>
      <c r="AP105" s="284">
        <v>81.650000000000006</v>
      </c>
      <c r="AQ105" s="284">
        <v>15.33</v>
      </c>
      <c r="AR105" s="284">
        <v>0</v>
      </c>
      <c r="AS105" s="284">
        <v>0</v>
      </c>
      <c r="AT105" s="284">
        <v>0</v>
      </c>
      <c r="AU105" s="284">
        <v>0</v>
      </c>
      <c r="AV105" s="284">
        <v>0</v>
      </c>
      <c r="AW105" s="284">
        <v>0</v>
      </c>
      <c r="AX105" s="284">
        <v>0</v>
      </c>
      <c r="AY105" s="284">
        <v>0</v>
      </c>
      <c r="AZ105" s="284">
        <v>0</v>
      </c>
      <c r="BA105" s="284">
        <v>0</v>
      </c>
      <c r="BB105" s="284">
        <v>0</v>
      </c>
      <c r="BC105" s="284">
        <v>0</v>
      </c>
      <c r="BD105" s="284">
        <v>0</v>
      </c>
      <c r="BE105" s="284">
        <v>0</v>
      </c>
      <c r="BF105" s="284">
        <v>0</v>
      </c>
      <c r="BG105" s="284">
        <v>0</v>
      </c>
      <c r="BH105" s="284">
        <v>3350.59</v>
      </c>
    </row>
    <row r="106" spans="1:60">
      <c r="A106" s="187" t="s">
        <v>256</v>
      </c>
      <c r="B106" s="284">
        <v>0</v>
      </c>
      <c r="C106" s="284">
        <v>0</v>
      </c>
      <c r="D106" s="284">
        <v>0</v>
      </c>
      <c r="E106" s="284">
        <v>0</v>
      </c>
      <c r="F106" s="284">
        <v>0</v>
      </c>
      <c r="G106" s="284">
        <v>0</v>
      </c>
      <c r="H106" s="284">
        <v>0</v>
      </c>
      <c r="I106" s="284">
        <v>0</v>
      </c>
      <c r="J106" s="284">
        <v>0</v>
      </c>
      <c r="K106" s="284">
        <v>0</v>
      </c>
      <c r="L106" s="284">
        <v>0</v>
      </c>
      <c r="M106" s="284">
        <v>0</v>
      </c>
      <c r="N106" s="284">
        <v>1260.3</v>
      </c>
      <c r="O106" s="284">
        <v>0</v>
      </c>
      <c r="P106" s="284">
        <v>0</v>
      </c>
      <c r="Q106" s="284">
        <v>0</v>
      </c>
      <c r="R106" s="284">
        <v>0</v>
      </c>
      <c r="S106" s="284">
        <v>0</v>
      </c>
      <c r="T106" s="284">
        <v>0</v>
      </c>
      <c r="U106" s="284">
        <v>0</v>
      </c>
      <c r="V106" s="284">
        <v>0</v>
      </c>
      <c r="W106" s="284">
        <v>0</v>
      </c>
      <c r="X106" s="284">
        <v>0</v>
      </c>
      <c r="Y106" s="284">
        <v>0</v>
      </c>
      <c r="Z106" s="284">
        <v>0</v>
      </c>
      <c r="AA106" s="284">
        <v>0</v>
      </c>
      <c r="AB106" s="284">
        <v>0</v>
      </c>
      <c r="AC106" s="284">
        <v>0</v>
      </c>
      <c r="AD106" s="284">
        <v>0</v>
      </c>
      <c r="AE106" s="284">
        <v>0</v>
      </c>
      <c r="AF106" s="284">
        <v>0</v>
      </c>
      <c r="AG106" s="284">
        <v>0</v>
      </c>
      <c r="AH106" s="284">
        <v>0</v>
      </c>
      <c r="AI106" s="284">
        <v>0</v>
      </c>
      <c r="AJ106" s="284">
        <v>0</v>
      </c>
      <c r="AK106" s="284">
        <v>0</v>
      </c>
      <c r="AL106" s="284">
        <v>0</v>
      </c>
      <c r="AM106" s="284">
        <v>0</v>
      </c>
      <c r="AN106" s="284">
        <v>0</v>
      </c>
      <c r="AO106" s="284">
        <v>0</v>
      </c>
      <c r="AP106" s="284">
        <v>0</v>
      </c>
      <c r="AQ106" s="284">
        <v>0</v>
      </c>
      <c r="AR106" s="284">
        <v>0</v>
      </c>
      <c r="AS106" s="284">
        <v>0</v>
      </c>
      <c r="AT106" s="284">
        <v>0</v>
      </c>
      <c r="AU106" s="284">
        <v>0</v>
      </c>
      <c r="AV106" s="284">
        <v>0</v>
      </c>
      <c r="AW106" s="284">
        <v>0</v>
      </c>
      <c r="AX106" s="284">
        <v>0</v>
      </c>
      <c r="AY106" s="284">
        <v>0</v>
      </c>
      <c r="AZ106" s="284">
        <v>0</v>
      </c>
      <c r="BA106" s="284">
        <v>0</v>
      </c>
      <c r="BB106" s="284">
        <v>0</v>
      </c>
      <c r="BC106" s="284">
        <v>0</v>
      </c>
      <c r="BD106" s="284">
        <v>0</v>
      </c>
      <c r="BE106" s="284">
        <v>0</v>
      </c>
      <c r="BF106" s="284">
        <v>0</v>
      </c>
      <c r="BG106" s="284">
        <v>0</v>
      </c>
      <c r="BH106" s="284">
        <v>1260.3</v>
      </c>
    </row>
    <row r="107" spans="1:60">
      <c r="A107" s="192" t="s">
        <v>181</v>
      </c>
      <c r="B107" s="193">
        <v>0</v>
      </c>
      <c r="C107" s="193">
        <v>601.59</v>
      </c>
      <c r="D107" s="193">
        <v>13.98</v>
      </c>
      <c r="E107" s="193">
        <v>0</v>
      </c>
      <c r="F107" s="193">
        <v>95.03</v>
      </c>
      <c r="G107" s="193">
        <v>334.53</v>
      </c>
      <c r="H107" s="193">
        <v>60.45</v>
      </c>
      <c r="I107" s="193">
        <v>223.76</v>
      </c>
      <c r="J107" s="193">
        <v>496.68</v>
      </c>
      <c r="K107" s="193">
        <v>270.55</v>
      </c>
      <c r="L107" s="193">
        <v>57.62</v>
      </c>
      <c r="M107" s="193">
        <v>62.65</v>
      </c>
      <c r="N107" s="193">
        <v>1434.56</v>
      </c>
      <c r="O107" s="193">
        <v>34.729999999999997</v>
      </c>
      <c r="P107" s="193">
        <v>8.59</v>
      </c>
      <c r="Q107" s="193">
        <v>37.729999999999997</v>
      </c>
      <c r="R107" s="193">
        <v>0</v>
      </c>
      <c r="S107" s="193">
        <v>0</v>
      </c>
      <c r="T107" s="193">
        <v>261.08</v>
      </c>
      <c r="U107" s="193">
        <v>5.37</v>
      </c>
      <c r="V107" s="193">
        <v>45.58</v>
      </c>
      <c r="W107" s="193">
        <v>137.24</v>
      </c>
      <c r="X107" s="193">
        <v>651.70000000000005</v>
      </c>
      <c r="Y107" s="193">
        <v>0</v>
      </c>
      <c r="Z107" s="193">
        <v>0</v>
      </c>
      <c r="AA107" s="193">
        <v>4.93</v>
      </c>
      <c r="AB107" s="193">
        <v>1.8</v>
      </c>
      <c r="AC107" s="193">
        <v>173.66</v>
      </c>
      <c r="AD107" s="193">
        <v>29.66</v>
      </c>
      <c r="AE107" s="193">
        <v>1895.46</v>
      </c>
      <c r="AF107" s="193">
        <v>9.67</v>
      </c>
      <c r="AG107" s="193">
        <v>7.93</v>
      </c>
      <c r="AH107" s="193">
        <v>5.83</v>
      </c>
      <c r="AI107" s="193">
        <v>40.43</v>
      </c>
      <c r="AJ107" s="193">
        <v>22.28</v>
      </c>
      <c r="AK107" s="193">
        <v>0</v>
      </c>
      <c r="AL107" s="193">
        <v>27.08</v>
      </c>
      <c r="AM107" s="193">
        <v>3.12</v>
      </c>
      <c r="AN107" s="193">
        <v>5.73</v>
      </c>
      <c r="AO107" s="193">
        <v>69.45</v>
      </c>
      <c r="AP107" s="193">
        <v>81.650000000000006</v>
      </c>
      <c r="AQ107" s="193">
        <v>534.11</v>
      </c>
      <c r="AR107" s="193">
        <v>0</v>
      </c>
      <c r="AS107" s="193">
        <v>0</v>
      </c>
      <c r="AT107" s="193">
        <v>0</v>
      </c>
      <c r="AU107" s="193">
        <v>0</v>
      </c>
      <c r="AV107" s="193">
        <v>0</v>
      </c>
      <c r="AW107" s="193">
        <v>0</v>
      </c>
      <c r="AX107" s="193">
        <v>0</v>
      </c>
      <c r="AY107" s="193">
        <v>0</v>
      </c>
      <c r="AZ107" s="193">
        <v>0</v>
      </c>
      <c r="BA107" s="193">
        <v>0</v>
      </c>
      <c r="BB107" s="193">
        <v>0</v>
      </c>
      <c r="BC107" s="193">
        <v>0</v>
      </c>
      <c r="BD107" s="193">
        <v>0</v>
      </c>
      <c r="BE107" s="193">
        <v>0</v>
      </c>
      <c r="BF107" s="193">
        <v>0</v>
      </c>
      <c r="BG107" s="193">
        <v>0</v>
      </c>
      <c r="BH107" s="193">
        <v>7757.31</v>
      </c>
    </row>
    <row r="108" spans="1:60">
      <c r="A108" s="191" t="s">
        <v>182</v>
      </c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  <c r="AB108" s="191"/>
      <c r="AC108" s="191"/>
      <c r="AD108" s="191"/>
      <c r="AE108" s="191"/>
      <c r="AF108" s="191"/>
      <c r="AG108" s="191"/>
      <c r="AH108" s="191"/>
      <c r="AI108" s="191"/>
      <c r="AJ108" s="191"/>
      <c r="AK108" s="191"/>
      <c r="AL108" s="191"/>
      <c r="AM108" s="191"/>
      <c r="AN108" s="191"/>
      <c r="AO108" s="191"/>
      <c r="AP108" s="191"/>
      <c r="AQ108" s="191"/>
      <c r="AR108" s="191"/>
      <c r="AS108" s="191"/>
      <c r="AT108" s="191"/>
      <c r="AU108" s="191"/>
      <c r="AV108" s="191"/>
      <c r="AW108" s="191"/>
      <c r="AX108" s="191"/>
      <c r="AY108" s="191"/>
      <c r="AZ108" s="191"/>
      <c r="BA108" s="191"/>
      <c r="BB108" s="191"/>
      <c r="BC108" s="191"/>
      <c r="BD108" s="191"/>
      <c r="BE108" s="191"/>
      <c r="BF108" s="191"/>
      <c r="BG108" s="191"/>
      <c r="BH108" s="191"/>
    </row>
    <row r="109" spans="1:60">
      <c r="A109" s="187" t="s">
        <v>183</v>
      </c>
      <c r="B109" s="284">
        <v>0</v>
      </c>
      <c r="C109" s="284">
        <v>1182.5</v>
      </c>
      <c r="D109" s="284">
        <v>0</v>
      </c>
      <c r="E109" s="284">
        <v>0</v>
      </c>
      <c r="F109" s="284">
        <v>0</v>
      </c>
      <c r="G109" s="284">
        <v>0</v>
      </c>
      <c r="H109" s="284">
        <v>0</v>
      </c>
      <c r="I109" s="284">
        <v>0</v>
      </c>
      <c r="J109" s="284">
        <v>0</v>
      </c>
      <c r="K109" s="284">
        <v>0</v>
      </c>
      <c r="L109" s="284">
        <v>0</v>
      </c>
      <c r="M109" s="284">
        <v>0</v>
      </c>
      <c r="N109" s="284">
        <v>0</v>
      </c>
      <c r="O109" s="284">
        <v>0</v>
      </c>
      <c r="P109" s="284">
        <v>0</v>
      </c>
      <c r="Q109" s="284">
        <v>0</v>
      </c>
      <c r="R109" s="284">
        <v>0</v>
      </c>
      <c r="S109" s="284">
        <v>0</v>
      </c>
      <c r="T109" s="284">
        <v>0</v>
      </c>
      <c r="U109" s="284">
        <v>0</v>
      </c>
      <c r="V109" s="284">
        <v>0</v>
      </c>
      <c r="W109" s="284">
        <v>0</v>
      </c>
      <c r="X109" s="284">
        <v>0</v>
      </c>
      <c r="Y109" s="284">
        <v>0</v>
      </c>
      <c r="Z109" s="284">
        <v>0</v>
      </c>
      <c r="AA109" s="284">
        <v>0</v>
      </c>
      <c r="AB109" s="284">
        <v>0</v>
      </c>
      <c r="AC109" s="284">
        <v>0</v>
      </c>
      <c r="AD109" s="284">
        <v>0</v>
      </c>
      <c r="AE109" s="284">
        <v>0</v>
      </c>
      <c r="AF109" s="284">
        <v>0</v>
      </c>
      <c r="AG109" s="284">
        <v>0</v>
      </c>
      <c r="AH109" s="284">
        <v>0</v>
      </c>
      <c r="AI109" s="284">
        <v>0</v>
      </c>
      <c r="AJ109" s="284">
        <v>0</v>
      </c>
      <c r="AK109" s="284">
        <v>0</v>
      </c>
      <c r="AL109" s="284">
        <v>0</v>
      </c>
      <c r="AM109" s="284">
        <v>0</v>
      </c>
      <c r="AN109" s="284">
        <v>0</v>
      </c>
      <c r="AO109" s="284">
        <v>0</v>
      </c>
      <c r="AP109" s="284">
        <v>0</v>
      </c>
      <c r="AQ109" s="284">
        <v>0</v>
      </c>
      <c r="AR109" s="284">
        <v>0</v>
      </c>
      <c r="AS109" s="284">
        <v>0</v>
      </c>
      <c r="AT109" s="284">
        <v>0</v>
      </c>
      <c r="AU109" s="284">
        <v>0</v>
      </c>
      <c r="AV109" s="284">
        <v>0</v>
      </c>
      <c r="AW109" s="284">
        <v>0</v>
      </c>
      <c r="AX109" s="284">
        <v>0</v>
      </c>
      <c r="AY109" s="284">
        <v>0</v>
      </c>
      <c r="AZ109" s="284">
        <v>0</v>
      </c>
      <c r="BA109" s="284">
        <v>0</v>
      </c>
      <c r="BB109" s="284">
        <v>0</v>
      </c>
      <c r="BC109" s="284">
        <v>0</v>
      </c>
      <c r="BD109" s="284">
        <v>0</v>
      </c>
      <c r="BE109" s="284">
        <v>0</v>
      </c>
      <c r="BF109" s="284">
        <v>0</v>
      </c>
      <c r="BG109" s="284">
        <v>0</v>
      </c>
      <c r="BH109" s="284">
        <v>1182.5</v>
      </c>
    </row>
    <row r="110" spans="1:60">
      <c r="A110" s="187" t="s">
        <v>184</v>
      </c>
      <c r="B110" s="284">
        <v>0</v>
      </c>
      <c r="C110" s="284">
        <v>6964.71</v>
      </c>
      <c r="D110" s="284">
        <v>732.34</v>
      </c>
      <c r="E110" s="284">
        <v>518.41</v>
      </c>
      <c r="F110" s="284">
        <v>253.46</v>
      </c>
      <c r="G110" s="284">
        <v>223.6</v>
      </c>
      <c r="H110" s="284">
        <v>550.46</v>
      </c>
      <c r="I110" s="284">
        <v>950.11</v>
      </c>
      <c r="J110" s="284">
        <v>3269.21</v>
      </c>
      <c r="K110" s="284">
        <v>1360.65</v>
      </c>
      <c r="L110" s="284">
        <v>167.62</v>
      </c>
      <c r="M110" s="284">
        <v>350.64</v>
      </c>
      <c r="N110" s="284">
        <v>722.07</v>
      </c>
      <c r="O110" s="284">
        <v>288.70999999999998</v>
      </c>
      <c r="P110" s="284">
        <v>78.36</v>
      </c>
      <c r="Q110" s="284">
        <v>359</v>
      </c>
      <c r="R110" s="284">
        <v>0</v>
      </c>
      <c r="S110" s="284">
        <v>0</v>
      </c>
      <c r="T110" s="284">
        <v>0</v>
      </c>
      <c r="U110" s="284">
        <v>0</v>
      </c>
      <c r="V110" s="284">
        <v>2313.15</v>
      </c>
      <c r="W110" s="284">
        <v>0</v>
      </c>
      <c r="X110" s="284">
        <v>6251.63</v>
      </c>
      <c r="Y110" s="284">
        <v>0</v>
      </c>
      <c r="Z110" s="284">
        <v>0</v>
      </c>
      <c r="AA110" s="284">
        <v>45.02</v>
      </c>
      <c r="AB110" s="284">
        <v>16.329999999999998</v>
      </c>
      <c r="AC110" s="284">
        <v>1128.7</v>
      </c>
      <c r="AD110" s="284">
        <v>321.69</v>
      </c>
      <c r="AE110" s="284">
        <v>109.51</v>
      </c>
      <c r="AF110" s="284">
        <v>64.23</v>
      </c>
      <c r="AG110" s="284">
        <v>72.099999999999994</v>
      </c>
      <c r="AH110" s="284">
        <v>52.99</v>
      </c>
      <c r="AI110" s="284">
        <v>98.02</v>
      </c>
      <c r="AJ110" s="284">
        <v>54.87</v>
      </c>
      <c r="AK110" s="284">
        <v>0</v>
      </c>
      <c r="AL110" s="284">
        <v>395.18</v>
      </c>
      <c r="AM110" s="284">
        <v>28.38</v>
      </c>
      <c r="AN110" s="284">
        <v>319.63</v>
      </c>
      <c r="AO110" s="284">
        <v>0</v>
      </c>
      <c r="AP110" s="284">
        <v>-60.78</v>
      </c>
      <c r="AQ110" s="284">
        <v>0</v>
      </c>
      <c r="AR110" s="284">
        <v>0</v>
      </c>
      <c r="AS110" s="284">
        <v>0</v>
      </c>
      <c r="AT110" s="284">
        <v>0</v>
      </c>
      <c r="AU110" s="284">
        <v>0</v>
      </c>
      <c r="AV110" s="284">
        <v>0</v>
      </c>
      <c r="AW110" s="284">
        <v>0</v>
      </c>
      <c r="AX110" s="284">
        <v>0</v>
      </c>
      <c r="AY110" s="284">
        <v>0</v>
      </c>
      <c r="AZ110" s="284">
        <v>0</v>
      </c>
      <c r="BA110" s="284">
        <v>0</v>
      </c>
      <c r="BB110" s="284">
        <v>0</v>
      </c>
      <c r="BC110" s="284">
        <v>0</v>
      </c>
      <c r="BD110" s="284">
        <v>0</v>
      </c>
      <c r="BE110" s="284">
        <v>0</v>
      </c>
      <c r="BF110" s="284">
        <v>0</v>
      </c>
      <c r="BG110" s="284">
        <v>0</v>
      </c>
      <c r="BH110" s="284">
        <v>28000</v>
      </c>
    </row>
    <row r="111" spans="1:60">
      <c r="A111" s="192" t="s">
        <v>185</v>
      </c>
      <c r="B111" s="193">
        <v>0</v>
      </c>
      <c r="C111" s="193">
        <v>8147.21</v>
      </c>
      <c r="D111" s="193">
        <v>732.34</v>
      </c>
      <c r="E111" s="193">
        <v>518.41</v>
      </c>
      <c r="F111" s="193">
        <v>253.46</v>
      </c>
      <c r="G111" s="193">
        <v>223.6</v>
      </c>
      <c r="H111" s="193">
        <v>550.46</v>
      </c>
      <c r="I111" s="193">
        <v>950.11</v>
      </c>
      <c r="J111" s="193">
        <v>3269.21</v>
      </c>
      <c r="K111" s="193">
        <v>1360.65</v>
      </c>
      <c r="L111" s="193">
        <v>167.62</v>
      </c>
      <c r="M111" s="193">
        <v>350.64</v>
      </c>
      <c r="N111" s="193">
        <v>722.07</v>
      </c>
      <c r="O111" s="193">
        <v>288.70999999999998</v>
      </c>
      <c r="P111" s="193">
        <v>78.36</v>
      </c>
      <c r="Q111" s="193">
        <v>359</v>
      </c>
      <c r="R111" s="193">
        <v>0</v>
      </c>
      <c r="S111" s="193">
        <v>0</v>
      </c>
      <c r="T111" s="193">
        <v>0</v>
      </c>
      <c r="U111" s="193">
        <v>0</v>
      </c>
      <c r="V111" s="193">
        <v>2313.15</v>
      </c>
      <c r="W111" s="193">
        <v>0</v>
      </c>
      <c r="X111" s="193">
        <v>6251.63</v>
      </c>
      <c r="Y111" s="193">
        <v>0</v>
      </c>
      <c r="Z111" s="193">
        <v>0</v>
      </c>
      <c r="AA111" s="193">
        <v>45.02</v>
      </c>
      <c r="AB111" s="193">
        <v>16.329999999999998</v>
      </c>
      <c r="AC111" s="193">
        <v>1128.7</v>
      </c>
      <c r="AD111" s="193">
        <v>321.69</v>
      </c>
      <c r="AE111" s="193">
        <v>109.51</v>
      </c>
      <c r="AF111" s="193">
        <v>64.23</v>
      </c>
      <c r="AG111" s="193">
        <v>72.099999999999994</v>
      </c>
      <c r="AH111" s="193">
        <v>52.99</v>
      </c>
      <c r="AI111" s="193">
        <v>98.02</v>
      </c>
      <c r="AJ111" s="193">
        <v>54.87</v>
      </c>
      <c r="AK111" s="193">
        <v>0</v>
      </c>
      <c r="AL111" s="193">
        <v>395.18</v>
      </c>
      <c r="AM111" s="193">
        <v>28.38</v>
      </c>
      <c r="AN111" s="193">
        <v>319.63</v>
      </c>
      <c r="AO111" s="193">
        <v>0</v>
      </c>
      <c r="AP111" s="193">
        <v>-60.78</v>
      </c>
      <c r="AQ111" s="193">
        <v>0</v>
      </c>
      <c r="AR111" s="193">
        <v>0</v>
      </c>
      <c r="AS111" s="193">
        <v>0</v>
      </c>
      <c r="AT111" s="193">
        <v>0</v>
      </c>
      <c r="AU111" s="193">
        <v>0</v>
      </c>
      <c r="AV111" s="193">
        <v>0</v>
      </c>
      <c r="AW111" s="193">
        <v>0</v>
      </c>
      <c r="AX111" s="193">
        <v>0</v>
      </c>
      <c r="AY111" s="193">
        <v>0</v>
      </c>
      <c r="AZ111" s="193">
        <v>0</v>
      </c>
      <c r="BA111" s="193">
        <v>0</v>
      </c>
      <c r="BB111" s="193">
        <v>0</v>
      </c>
      <c r="BC111" s="193">
        <v>0</v>
      </c>
      <c r="BD111" s="193">
        <v>0</v>
      </c>
      <c r="BE111" s="193">
        <v>0</v>
      </c>
      <c r="BF111" s="193">
        <v>0</v>
      </c>
      <c r="BG111" s="193">
        <v>0</v>
      </c>
      <c r="BH111" s="193">
        <v>29182.5</v>
      </c>
    </row>
    <row r="112" spans="1:60">
      <c r="A112" s="191" t="s">
        <v>186</v>
      </c>
      <c r="B112" s="191"/>
      <c r="C112" s="191"/>
      <c r="D112" s="191"/>
      <c r="E112" s="191"/>
      <c r="F112" s="191"/>
      <c r="G112" s="191"/>
      <c r="H112" s="191"/>
      <c r="I112" s="191"/>
      <c r="J112" s="191"/>
      <c r="K112" s="191"/>
      <c r="L112" s="191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  <c r="AA112" s="191"/>
      <c r="AB112" s="191"/>
      <c r="AC112" s="191"/>
      <c r="AD112" s="191"/>
      <c r="AE112" s="191"/>
      <c r="AF112" s="191"/>
      <c r="AG112" s="191"/>
      <c r="AH112" s="191"/>
      <c r="AI112" s="191"/>
      <c r="AJ112" s="191"/>
      <c r="AK112" s="191"/>
      <c r="AL112" s="191"/>
      <c r="AM112" s="191"/>
      <c r="AN112" s="191"/>
      <c r="AO112" s="191"/>
      <c r="AP112" s="191"/>
      <c r="AQ112" s="191"/>
      <c r="AR112" s="191"/>
      <c r="AS112" s="191"/>
      <c r="AT112" s="191"/>
      <c r="AU112" s="191"/>
      <c r="AV112" s="191"/>
      <c r="AW112" s="191"/>
      <c r="AX112" s="191"/>
      <c r="AY112" s="191"/>
      <c r="AZ112" s="191"/>
      <c r="BA112" s="191"/>
      <c r="BB112" s="191"/>
      <c r="BC112" s="191"/>
      <c r="BD112" s="191"/>
      <c r="BE112" s="191"/>
      <c r="BF112" s="191"/>
      <c r="BG112" s="191"/>
      <c r="BH112" s="191"/>
    </row>
    <row r="113" spans="1:60">
      <c r="A113" s="187" t="s">
        <v>187</v>
      </c>
      <c r="B113" s="284">
        <v>0</v>
      </c>
      <c r="C113" s="284">
        <v>0</v>
      </c>
      <c r="D113" s="284">
        <v>0</v>
      </c>
      <c r="E113" s="284">
        <v>0</v>
      </c>
      <c r="F113" s="284">
        <v>0</v>
      </c>
      <c r="G113" s="284">
        <v>0</v>
      </c>
      <c r="H113" s="284">
        <v>0</v>
      </c>
      <c r="I113" s="284">
        <v>0</v>
      </c>
      <c r="J113" s="284">
        <v>0</v>
      </c>
      <c r="K113" s="284">
        <v>0</v>
      </c>
      <c r="L113" s="284">
        <v>0</v>
      </c>
      <c r="M113" s="284">
        <v>0</v>
      </c>
      <c r="N113" s="284">
        <v>0</v>
      </c>
      <c r="O113" s="284">
        <v>0</v>
      </c>
      <c r="P113" s="284">
        <v>0</v>
      </c>
      <c r="Q113" s="284">
        <v>0</v>
      </c>
      <c r="R113" s="284">
        <v>0</v>
      </c>
      <c r="S113" s="284">
        <v>0</v>
      </c>
      <c r="T113" s="284">
        <v>0</v>
      </c>
      <c r="U113" s="284">
        <v>0</v>
      </c>
      <c r="V113" s="284">
        <v>0</v>
      </c>
      <c r="W113" s="284">
        <v>0</v>
      </c>
      <c r="X113" s="284">
        <v>0</v>
      </c>
      <c r="Y113" s="284">
        <v>0</v>
      </c>
      <c r="Z113" s="284">
        <v>0</v>
      </c>
      <c r="AA113" s="284">
        <v>0</v>
      </c>
      <c r="AB113" s="284">
        <v>0</v>
      </c>
      <c r="AC113" s="284">
        <v>0</v>
      </c>
      <c r="AD113" s="284">
        <v>0</v>
      </c>
      <c r="AE113" s="284">
        <v>0</v>
      </c>
      <c r="AF113" s="284">
        <v>0</v>
      </c>
      <c r="AG113" s="284">
        <v>0</v>
      </c>
      <c r="AH113" s="284">
        <v>0</v>
      </c>
      <c r="AI113" s="284">
        <v>0</v>
      </c>
      <c r="AJ113" s="284">
        <v>0</v>
      </c>
      <c r="AK113" s="284">
        <v>0</v>
      </c>
      <c r="AL113" s="284">
        <v>0</v>
      </c>
      <c r="AM113" s="284">
        <v>0</v>
      </c>
      <c r="AN113" s="284">
        <v>0</v>
      </c>
      <c r="AO113" s="284">
        <v>0</v>
      </c>
      <c r="AP113" s="284">
        <v>0</v>
      </c>
      <c r="AQ113" s="284">
        <v>3.15</v>
      </c>
      <c r="AR113" s="284">
        <v>4.96</v>
      </c>
      <c r="AS113" s="284">
        <v>0</v>
      </c>
      <c r="AT113" s="284">
        <v>0</v>
      </c>
      <c r="AU113" s="284">
        <v>0</v>
      </c>
      <c r="AV113" s="284">
        <v>0</v>
      </c>
      <c r="AW113" s="284">
        <v>0</v>
      </c>
      <c r="AX113" s="284">
        <v>0</v>
      </c>
      <c r="AY113" s="284">
        <v>0</v>
      </c>
      <c r="AZ113" s="284">
        <v>0</v>
      </c>
      <c r="BA113" s="284">
        <v>0</v>
      </c>
      <c r="BB113" s="284">
        <v>0</v>
      </c>
      <c r="BC113" s="284">
        <v>0</v>
      </c>
      <c r="BD113" s="284">
        <v>0</v>
      </c>
      <c r="BE113" s="284">
        <v>0</v>
      </c>
      <c r="BF113" s="284">
        <v>0</v>
      </c>
      <c r="BG113" s="284">
        <v>0</v>
      </c>
      <c r="BH113" s="284">
        <v>8.11</v>
      </c>
    </row>
    <row r="114" spans="1:60">
      <c r="A114" s="187" t="s">
        <v>188</v>
      </c>
      <c r="B114" s="284">
        <v>0</v>
      </c>
      <c r="C114" s="284">
        <v>5390.91</v>
      </c>
      <c r="D114" s="284">
        <v>0</v>
      </c>
      <c r="E114" s="284">
        <v>0</v>
      </c>
      <c r="F114" s="284">
        <v>0</v>
      </c>
      <c r="G114" s="284">
        <v>0</v>
      </c>
      <c r="H114" s="284">
        <v>0</v>
      </c>
      <c r="I114" s="284">
        <v>0</v>
      </c>
      <c r="J114" s="284">
        <v>0</v>
      </c>
      <c r="K114" s="284">
        <v>0</v>
      </c>
      <c r="L114" s="284">
        <v>0</v>
      </c>
      <c r="M114" s="284">
        <v>0</v>
      </c>
      <c r="N114" s="284">
        <v>0</v>
      </c>
      <c r="O114" s="284">
        <v>0</v>
      </c>
      <c r="P114" s="284">
        <v>0</v>
      </c>
      <c r="Q114" s="284">
        <v>0</v>
      </c>
      <c r="R114" s="284">
        <v>0</v>
      </c>
      <c r="S114" s="284">
        <v>0</v>
      </c>
      <c r="T114" s="284">
        <v>0</v>
      </c>
      <c r="U114" s="284">
        <v>0</v>
      </c>
      <c r="V114" s="284">
        <v>0</v>
      </c>
      <c r="W114" s="284">
        <v>0</v>
      </c>
      <c r="X114" s="284">
        <v>0</v>
      </c>
      <c r="Y114" s="284">
        <v>0</v>
      </c>
      <c r="Z114" s="284">
        <v>0</v>
      </c>
      <c r="AA114" s="284">
        <v>0</v>
      </c>
      <c r="AB114" s="284">
        <v>0</v>
      </c>
      <c r="AC114" s="284">
        <v>0</v>
      </c>
      <c r="AD114" s="284">
        <v>0</v>
      </c>
      <c r="AE114" s="284">
        <v>0</v>
      </c>
      <c r="AF114" s="284">
        <v>0</v>
      </c>
      <c r="AG114" s="284">
        <v>0</v>
      </c>
      <c r="AH114" s="284">
        <v>0</v>
      </c>
      <c r="AI114" s="284">
        <v>0</v>
      </c>
      <c r="AJ114" s="284">
        <v>0</v>
      </c>
      <c r="AK114" s="284">
        <v>0</v>
      </c>
      <c r="AL114" s="284">
        <v>0</v>
      </c>
      <c r="AM114" s="284">
        <v>0</v>
      </c>
      <c r="AN114" s="284">
        <v>0</v>
      </c>
      <c r="AO114" s="284">
        <v>0</v>
      </c>
      <c r="AP114" s="284">
        <v>0</v>
      </c>
      <c r="AQ114" s="284">
        <v>0</v>
      </c>
      <c r="AR114" s="284">
        <v>0.56999999999999995</v>
      </c>
      <c r="AS114" s="284">
        <v>0</v>
      </c>
      <c r="AT114" s="284">
        <v>0</v>
      </c>
      <c r="AU114" s="284">
        <v>0</v>
      </c>
      <c r="AV114" s="284">
        <v>0</v>
      </c>
      <c r="AW114" s="284">
        <v>0</v>
      </c>
      <c r="AX114" s="284">
        <v>0</v>
      </c>
      <c r="AY114" s="284">
        <v>0</v>
      </c>
      <c r="AZ114" s="284">
        <v>0</v>
      </c>
      <c r="BA114" s="284">
        <v>0</v>
      </c>
      <c r="BB114" s="284">
        <v>0</v>
      </c>
      <c r="BC114" s="284">
        <v>0</v>
      </c>
      <c r="BD114" s="284">
        <v>0</v>
      </c>
      <c r="BE114" s="284">
        <v>0</v>
      </c>
      <c r="BF114" s="284">
        <v>0</v>
      </c>
      <c r="BG114" s="284">
        <v>0</v>
      </c>
      <c r="BH114" s="284">
        <v>5391.48</v>
      </c>
    </row>
    <row r="115" spans="1:60">
      <c r="A115" s="187" t="s">
        <v>257</v>
      </c>
      <c r="B115" s="284">
        <v>0</v>
      </c>
      <c r="C115" s="284">
        <v>0</v>
      </c>
      <c r="D115" s="284">
        <v>0</v>
      </c>
      <c r="E115" s="284">
        <v>0</v>
      </c>
      <c r="F115" s="284">
        <v>0</v>
      </c>
      <c r="G115" s="284">
        <v>0</v>
      </c>
      <c r="H115" s="284">
        <v>0</v>
      </c>
      <c r="I115" s="284">
        <v>0</v>
      </c>
      <c r="J115" s="284">
        <v>0</v>
      </c>
      <c r="K115" s="284">
        <v>0</v>
      </c>
      <c r="L115" s="284">
        <v>0</v>
      </c>
      <c r="M115" s="284">
        <v>0</v>
      </c>
      <c r="N115" s="284">
        <v>0</v>
      </c>
      <c r="O115" s="284">
        <v>0</v>
      </c>
      <c r="P115" s="284">
        <v>0</v>
      </c>
      <c r="Q115" s="284">
        <v>0</v>
      </c>
      <c r="R115" s="284">
        <v>0</v>
      </c>
      <c r="S115" s="284">
        <v>0</v>
      </c>
      <c r="T115" s="284">
        <v>0</v>
      </c>
      <c r="U115" s="284">
        <v>0</v>
      </c>
      <c r="V115" s="284">
        <v>0</v>
      </c>
      <c r="W115" s="284">
        <v>0</v>
      </c>
      <c r="X115" s="284">
        <v>0</v>
      </c>
      <c r="Y115" s="284">
        <v>0</v>
      </c>
      <c r="Z115" s="284">
        <v>0</v>
      </c>
      <c r="AA115" s="284">
        <v>0</v>
      </c>
      <c r="AB115" s="284">
        <v>0</v>
      </c>
      <c r="AC115" s="284">
        <v>0</v>
      </c>
      <c r="AD115" s="284">
        <v>0</v>
      </c>
      <c r="AE115" s="284">
        <v>0</v>
      </c>
      <c r="AF115" s="284">
        <v>0</v>
      </c>
      <c r="AG115" s="284">
        <v>0</v>
      </c>
      <c r="AH115" s="284">
        <v>0</v>
      </c>
      <c r="AI115" s="284">
        <v>0</v>
      </c>
      <c r="AJ115" s="284">
        <v>0</v>
      </c>
      <c r="AK115" s="284">
        <v>0</v>
      </c>
      <c r="AL115" s="284">
        <v>0</v>
      </c>
      <c r="AM115" s="284">
        <v>0</v>
      </c>
      <c r="AN115" s="284">
        <v>0</v>
      </c>
      <c r="AO115" s="284">
        <v>0</v>
      </c>
      <c r="AP115" s="284">
        <v>0</v>
      </c>
      <c r="AQ115" s="284">
        <v>0</v>
      </c>
      <c r="AR115" s="284">
        <v>25</v>
      </c>
      <c r="AS115" s="284">
        <v>0</v>
      </c>
      <c r="AT115" s="284">
        <v>0</v>
      </c>
      <c r="AU115" s="284">
        <v>0</v>
      </c>
      <c r="AV115" s="284">
        <v>0</v>
      </c>
      <c r="AW115" s="284">
        <v>0</v>
      </c>
      <c r="AX115" s="284">
        <v>0</v>
      </c>
      <c r="AY115" s="284">
        <v>0</v>
      </c>
      <c r="AZ115" s="284">
        <v>0</v>
      </c>
      <c r="BA115" s="284">
        <v>0</v>
      </c>
      <c r="BB115" s="284">
        <v>0</v>
      </c>
      <c r="BC115" s="284">
        <v>0</v>
      </c>
      <c r="BD115" s="284">
        <v>0</v>
      </c>
      <c r="BE115" s="284">
        <v>0</v>
      </c>
      <c r="BF115" s="284">
        <v>0</v>
      </c>
      <c r="BG115" s="284">
        <v>0</v>
      </c>
      <c r="BH115" s="284">
        <v>25</v>
      </c>
    </row>
    <row r="116" spans="1:60">
      <c r="A116" s="187" t="s">
        <v>189</v>
      </c>
      <c r="B116" s="284">
        <v>0</v>
      </c>
      <c r="C116" s="284">
        <v>689.2</v>
      </c>
      <c r="D116" s="284">
        <v>0</v>
      </c>
      <c r="E116" s="284">
        <v>0</v>
      </c>
      <c r="F116" s="284">
        <v>0</v>
      </c>
      <c r="G116" s="284">
        <v>0</v>
      </c>
      <c r="H116" s="284">
        <v>0</v>
      </c>
      <c r="I116" s="284">
        <v>0</v>
      </c>
      <c r="J116" s="284">
        <v>0</v>
      </c>
      <c r="K116" s="284">
        <v>0</v>
      </c>
      <c r="L116" s="284">
        <v>0</v>
      </c>
      <c r="M116" s="284">
        <v>0</v>
      </c>
      <c r="N116" s="284">
        <v>0</v>
      </c>
      <c r="O116" s="284">
        <v>0</v>
      </c>
      <c r="P116" s="284">
        <v>0</v>
      </c>
      <c r="Q116" s="284">
        <v>0</v>
      </c>
      <c r="R116" s="284">
        <v>0</v>
      </c>
      <c r="S116" s="284">
        <v>0</v>
      </c>
      <c r="T116" s="284">
        <v>0</v>
      </c>
      <c r="U116" s="284">
        <v>0</v>
      </c>
      <c r="V116" s="284">
        <v>0</v>
      </c>
      <c r="W116" s="284">
        <v>0</v>
      </c>
      <c r="X116" s="284">
        <v>0</v>
      </c>
      <c r="Y116" s="284">
        <v>0</v>
      </c>
      <c r="Z116" s="284">
        <v>0</v>
      </c>
      <c r="AA116" s="284">
        <v>0</v>
      </c>
      <c r="AB116" s="284">
        <v>0</v>
      </c>
      <c r="AC116" s="284">
        <v>0</v>
      </c>
      <c r="AD116" s="284">
        <v>0</v>
      </c>
      <c r="AE116" s="284">
        <v>0</v>
      </c>
      <c r="AF116" s="284">
        <v>0</v>
      </c>
      <c r="AG116" s="284">
        <v>0</v>
      </c>
      <c r="AH116" s="284">
        <v>0</v>
      </c>
      <c r="AI116" s="284">
        <v>0</v>
      </c>
      <c r="AJ116" s="284">
        <v>0</v>
      </c>
      <c r="AK116" s="284">
        <v>0</v>
      </c>
      <c r="AL116" s="284">
        <v>0</v>
      </c>
      <c r="AM116" s="284">
        <v>0</v>
      </c>
      <c r="AN116" s="284">
        <v>0</v>
      </c>
      <c r="AO116" s="284">
        <v>0</v>
      </c>
      <c r="AP116" s="284">
        <v>0</v>
      </c>
      <c r="AQ116" s="284">
        <v>0</v>
      </c>
      <c r="AR116" s="284">
        <v>0</v>
      </c>
      <c r="AS116" s="284">
        <v>0</v>
      </c>
      <c r="AT116" s="284">
        <v>0</v>
      </c>
      <c r="AU116" s="284">
        <v>0</v>
      </c>
      <c r="AV116" s="284">
        <v>0</v>
      </c>
      <c r="AW116" s="284">
        <v>0</v>
      </c>
      <c r="AX116" s="284">
        <v>0</v>
      </c>
      <c r="AY116" s="284">
        <v>0</v>
      </c>
      <c r="AZ116" s="284">
        <v>0</v>
      </c>
      <c r="BA116" s="284">
        <v>0</v>
      </c>
      <c r="BB116" s="284">
        <v>0</v>
      </c>
      <c r="BC116" s="284">
        <v>0</v>
      </c>
      <c r="BD116" s="284">
        <v>0</v>
      </c>
      <c r="BE116" s="284">
        <v>0</v>
      </c>
      <c r="BF116" s="284">
        <v>0</v>
      </c>
      <c r="BG116" s="284">
        <v>0</v>
      </c>
      <c r="BH116" s="284">
        <v>689.2</v>
      </c>
    </row>
    <row r="117" spans="1:60">
      <c r="A117" s="187" t="s">
        <v>190</v>
      </c>
      <c r="B117" s="284">
        <v>0</v>
      </c>
      <c r="C117" s="284">
        <v>0</v>
      </c>
      <c r="D117" s="284">
        <v>0</v>
      </c>
      <c r="E117" s="284">
        <v>0</v>
      </c>
      <c r="F117" s="284">
        <v>0</v>
      </c>
      <c r="G117" s="284">
        <v>0</v>
      </c>
      <c r="H117" s="284">
        <v>0</v>
      </c>
      <c r="I117" s="284">
        <v>0</v>
      </c>
      <c r="J117" s="284">
        <v>0</v>
      </c>
      <c r="K117" s="284">
        <v>0</v>
      </c>
      <c r="L117" s="284">
        <v>0</v>
      </c>
      <c r="M117" s="284">
        <v>0</v>
      </c>
      <c r="N117" s="284">
        <v>0</v>
      </c>
      <c r="O117" s="284">
        <v>0</v>
      </c>
      <c r="P117" s="284">
        <v>0</v>
      </c>
      <c r="Q117" s="284">
        <v>0</v>
      </c>
      <c r="R117" s="284">
        <v>0</v>
      </c>
      <c r="S117" s="284">
        <v>0</v>
      </c>
      <c r="T117" s="284">
        <v>0</v>
      </c>
      <c r="U117" s="284">
        <v>0</v>
      </c>
      <c r="V117" s="284">
        <v>0</v>
      </c>
      <c r="W117" s="284">
        <v>0</v>
      </c>
      <c r="X117" s="284">
        <v>0</v>
      </c>
      <c r="Y117" s="284">
        <v>0</v>
      </c>
      <c r="Z117" s="284">
        <v>0</v>
      </c>
      <c r="AA117" s="284">
        <v>0</v>
      </c>
      <c r="AB117" s="284">
        <v>0</v>
      </c>
      <c r="AC117" s="284">
        <v>0</v>
      </c>
      <c r="AD117" s="284">
        <v>0</v>
      </c>
      <c r="AE117" s="284">
        <v>0</v>
      </c>
      <c r="AF117" s="284">
        <v>0</v>
      </c>
      <c r="AG117" s="284">
        <v>0</v>
      </c>
      <c r="AH117" s="284">
        <v>0</v>
      </c>
      <c r="AI117" s="284">
        <v>0</v>
      </c>
      <c r="AJ117" s="284">
        <v>0</v>
      </c>
      <c r="AK117" s="284">
        <v>0</v>
      </c>
      <c r="AL117" s="284">
        <v>0</v>
      </c>
      <c r="AM117" s="284">
        <v>0</v>
      </c>
      <c r="AN117" s="284">
        <v>0</v>
      </c>
      <c r="AO117" s="284">
        <v>0</v>
      </c>
      <c r="AP117" s="284">
        <v>0</v>
      </c>
      <c r="AQ117" s="284">
        <v>0</v>
      </c>
      <c r="AR117" s="284">
        <v>10107.43</v>
      </c>
      <c r="AS117" s="284">
        <v>0</v>
      </c>
      <c r="AT117" s="284">
        <v>0</v>
      </c>
      <c r="AU117" s="284">
        <v>0</v>
      </c>
      <c r="AV117" s="284">
        <v>0</v>
      </c>
      <c r="AW117" s="284">
        <v>0</v>
      </c>
      <c r="AX117" s="284">
        <v>0</v>
      </c>
      <c r="AY117" s="284">
        <v>0</v>
      </c>
      <c r="AZ117" s="284">
        <v>0</v>
      </c>
      <c r="BA117" s="284">
        <v>0</v>
      </c>
      <c r="BB117" s="284">
        <v>0</v>
      </c>
      <c r="BC117" s="284">
        <v>0</v>
      </c>
      <c r="BD117" s="284">
        <v>0</v>
      </c>
      <c r="BE117" s="284">
        <v>0</v>
      </c>
      <c r="BF117" s="284">
        <v>0</v>
      </c>
      <c r="BG117" s="284">
        <v>0</v>
      </c>
      <c r="BH117" s="284">
        <v>10107.43</v>
      </c>
    </row>
    <row r="118" spans="1:60">
      <c r="A118" s="192" t="s">
        <v>191</v>
      </c>
      <c r="B118" s="193">
        <v>0</v>
      </c>
      <c r="C118" s="193">
        <v>6080.11</v>
      </c>
      <c r="D118" s="193">
        <v>0</v>
      </c>
      <c r="E118" s="193">
        <v>0</v>
      </c>
      <c r="F118" s="193">
        <v>0</v>
      </c>
      <c r="G118" s="193">
        <v>0</v>
      </c>
      <c r="H118" s="193">
        <v>0</v>
      </c>
      <c r="I118" s="193">
        <v>0</v>
      </c>
      <c r="J118" s="193">
        <v>0</v>
      </c>
      <c r="K118" s="193">
        <v>0</v>
      </c>
      <c r="L118" s="193">
        <v>0</v>
      </c>
      <c r="M118" s="193">
        <v>0</v>
      </c>
      <c r="N118" s="193">
        <v>0</v>
      </c>
      <c r="O118" s="193">
        <v>0</v>
      </c>
      <c r="P118" s="193">
        <v>0</v>
      </c>
      <c r="Q118" s="193">
        <v>0</v>
      </c>
      <c r="R118" s="193">
        <v>0</v>
      </c>
      <c r="S118" s="193">
        <v>0</v>
      </c>
      <c r="T118" s="193">
        <v>0</v>
      </c>
      <c r="U118" s="193">
        <v>0</v>
      </c>
      <c r="V118" s="193">
        <v>0</v>
      </c>
      <c r="W118" s="193">
        <v>0</v>
      </c>
      <c r="X118" s="193">
        <v>0</v>
      </c>
      <c r="Y118" s="193">
        <v>0</v>
      </c>
      <c r="Z118" s="193">
        <v>0</v>
      </c>
      <c r="AA118" s="193">
        <v>0</v>
      </c>
      <c r="AB118" s="193">
        <v>0</v>
      </c>
      <c r="AC118" s="193">
        <v>0</v>
      </c>
      <c r="AD118" s="193">
        <v>0</v>
      </c>
      <c r="AE118" s="193">
        <v>0</v>
      </c>
      <c r="AF118" s="193">
        <v>0</v>
      </c>
      <c r="AG118" s="193">
        <v>0</v>
      </c>
      <c r="AH118" s="193">
        <v>0</v>
      </c>
      <c r="AI118" s="193">
        <v>0</v>
      </c>
      <c r="AJ118" s="193">
        <v>0</v>
      </c>
      <c r="AK118" s="193">
        <v>0</v>
      </c>
      <c r="AL118" s="193">
        <v>0</v>
      </c>
      <c r="AM118" s="193">
        <v>0</v>
      </c>
      <c r="AN118" s="193">
        <v>0</v>
      </c>
      <c r="AO118" s="193">
        <v>0</v>
      </c>
      <c r="AP118" s="193">
        <v>0</v>
      </c>
      <c r="AQ118" s="193">
        <v>3.15</v>
      </c>
      <c r="AR118" s="193">
        <v>10137.959999999999</v>
      </c>
      <c r="AS118" s="193">
        <v>0</v>
      </c>
      <c r="AT118" s="193">
        <v>0</v>
      </c>
      <c r="AU118" s="193">
        <v>0</v>
      </c>
      <c r="AV118" s="193">
        <v>0</v>
      </c>
      <c r="AW118" s="193">
        <v>0</v>
      </c>
      <c r="AX118" s="193">
        <v>0</v>
      </c>
      <c r="AY118" s="193">
        <v>0</v>
      </c>
      <c r="AZ118" s="193">
        <v>0</v>
      </c>
      <c r="BA118" s="193">
        <v>0</v>
      </c>
      <c r="BB118" s="193">
        <v>0</v>
      </c>
      <c r="BC118" s="193">
        <v>0</v>
      </c>
      <c r="BD118" s="193">
        <v>0</v>
      </c>
      <c r="BE118" s="193">
        <v>0</v>
      </c>
      <c r="BF118" s="193">
        <v>0</v>
      </c>
      <c r="BG118" s="193">
        <v>0</v>
      </c>
      <c r="BH118" s="193">
        <v>16221.22</v>
      </c>
    </row>
    <row r="119" spans="1:60">
      <c r="A119" s="191" t="s">
        <v>192</v>
      </c>
      <c r="B119" s="191"/>
      <c r="C119" s="191"/>
      <c r="D119" s="191"/>
      <c r="E119" s="191"/>
      <c r="F119" s="191"/>
      <c r="G119" s="191"/>
      <c r="H119" s="191"/>
      <c r="I119" s="191"/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  <c r="AF119" s="191"/>
      <c r="AG119" s="191"/>
      <c r="AH119" s="191"/>
      <c r="AI119" s="191"/>
      <c r="AJ119" s="191"/>
      <c r="AK119" s="191"/>
      <c r="AL119" s="191"/>
      <c r="AM119" s="191"/>
      <c r="AN119" s="191"/>
      <c r="AO119" s="191"/>
      <c r="AP119" s="191"/>
      <c r="AQ119" s="191"/>
      <c r="AR119" s="191"/>
      <c r="AS119" s="191"/>
      <c r="AT119" s="191"/>
      <c r="AU119" s="191"/>
      <c r="AV119" s="191"/>
      <c r="AW119" s="191"/>
      <c r="AX119" s="191"/>
      <c r="AY119" s="191"/>
      <c r="AZ119" s="191"/>
      <c r="BA119" s="191"/>
      <c r="BB119" s="191"/>
      <c r="BC119" s="191"/>
      <c r="BD119" s="191"/>
      <c r="BE119" s="191"/>
      <c r="BF119" s="191"/>
      <c r="BG119" s="191"/>
      <c r="BH119" s="191"/>
    </row>
    <row r="120" spans="1:60">
      <c r="A120" s="187" t="s">
        <v>193</v>
      </c>
      <c r="B120" s="284">
        <v>0</v>
      </c>
      <c r="C120" s="284">
        <v>267.27999999999997</v>
      </c>
      <c r="D120" s="284">
        <v>0</v>
      </c>
      <c r="E120" s="284">
        <v>0</v>
      </c>
      <c r="F120" s="284">
        <v>0</v>
      </c>
      <c r="G120" s="284">
        <v>136.66</v>
      </c>
      <c r="H120" s="284">
        <v>0</v>
      </c>
      <c r="I120" s="284">
        <v>0</v>
      </c>
      <c r="J120" s="284">
        <v>0</v>
      </c>
      <c r="K120" s="284">
        <v>0</v>
      </c>
      <c r="L120" s="284">
        <v>0</v>
      </c>
      <c r="M120" s="284">
        <v>0</v>
      </c>
      <c r="N120" s="284">
        <v>250.42</v>
      </c>
      <c r="O120" s="284">
        <v>0</v>
      </c>
      <c r="P120" s="284">
        <v>0</v>
      </c>
      <c r="Q120" s="284">
        <v>0</v>
      </c>
      <c r="R120" s="284">
        <v>0</v>
      </c>
      <c r="S120" s="284">
        <v>0</v>
      </c>
      <c r="T120" s="284">
        <v>0</v>
      </c>
      <c r="U120" s="284">
        <v>0</v>
      </c>
      <c r="V120" s="284">
        <v>0</v>
      </c>
      <c r="W120" s="284">
        <v>0</v>
      </c>
      <c r="X120" s="284">
        <v>143.97</v>
      </c>
      <c r="Y120" s="284">
        <v>0</v>
      </c>
      <c r="Z120" s="284">
        <v>0</v>
      </c>
      <c r="AA120" s="284">
        <v>0</v>
      </c>
      <c r="AB120" s="284">
        <v>0</v>
      </c>
      <c r="AC120" s="284">
        <v>0</v>
      </c>
      <c r="AD120" s="284">
        <v>0</v>
      </c>
      <c r="AE120" s="284">
        <v>0</v>
      </c>
      <c r="AF120" s="284">
        <v>0</v>
      </c>
      <c r="AG120" s="284">
        <v>0</v>
      </c>
      <c r="AH120" s="284">
        <v>0</v>
      </c>
      <c r="AI120" s="284">
        <v>0</v>
      </c>
      <c r="AJ120" s="284">
        <v>0</v>
      </c>
      <c r="AK120" s="284">
        <v>0</v>
      </c>
      <c r="AL120" s="284">
        <v>0</v>
      </c>
      <c r="AM120" s="284">
        <v>0</v>
      </c>
      <c r="AN120" s="284">
        <v>0</v>
      </c>
      <c r="AO120" s="284">
        <v>0</v>
      </c>
      <c r="AP120" s="284">
        <v>0</v>
      </c>
      <c r="AQ120" s="284">
        <v>136.66999999999999</v>
      </c>
      <c r="AR120" s="284">
        <v>0</v>
      </c>
      <c r="AS120" s="284">
        <v>0</v>
      </c>
      <c r="AT120" s="284">
        <v>0</v>
      </c>
      <c r="AU120" s="284">
        <v>0</v>
      </c>
      <c r="AV120" s="284">
        <v>0</v>
      </c>
      <c r="AW120" s="284">
        <v>0</v>
      </c>
      <c r="AX120" s="284">
        <v>0</v>
      </c>
      <c r="AY120" s="284">
        <v>0</v>
      </c>
      <c r="AZ120" s="284">
        <v>0</v>
      </c>
      <c r="BA120" s="284">
        <v>0</v>
      </c>
      <c r="BB120" s="284">
        <v>0</v>
      </c>
      <c r="BC120" s="284">
        <v>0</v>
      </c>
      <c r="BD120" s="284">
        <v>0</v>
      </c>
      <c r="BE120" s="284">
        <v>0</v>
      </c>
      <c r="BF120" s="284">
        <v>0</v>
      </c>
      <c r="BG120" s="284">
        <v>0</v>
      </c>
      <c r="BH120" s="284">
        <v>935</v>
      </c>
    </row>
    <row r="121" spans="1:60">
      <c r="A121" s="187" t="s">
        <v>258</v>
      </c>
      <c r="B121" s="284">
        <v>0</v>
      </c>
      <c r="C121" s="284">
        <v>562.45000000000005</v>
      </c>
      <c r="D121" s="284">
        <v>0</v>
      </c>
      <c r="E121" s="284">
        <v>0</v>
      </c>
      <c r="F121" s="284">
        <v>0</v>
      </c>
      <c r="G121" s="284">
        <v>0</v>
      </c>
      <c r="H121" s="284">
        <v>0</v>
      </c>
      <c r="I121" s="284">
        <v>0</v>
      </c>
      <c r="J121" s="284">
        <v>0</v>
      </c>
      <c r="K121" s="284">
        <v>0</v>
      </c>
      <c r="L121" s="284">
        <v>0</v>
      </c>
      <c r="M121" s="284">
        <v>0</v>
      </c>
      <c r="N121" s="284">
        <v>485.57</v>
      </c>
      <c r="O121" s="284">
        <v>0</v>
      </c>
      <c r="P121" s="284">
        <v>0</v>
      </c>
      <c r="Q121" s="284">
        <v>0</v>
      </c>
      <c r="R121" s="284">
        <v>0</v>
      </c>
      <c r="S121" s="284">
        <v>0</v>
      </c>
      <c r="T121" s="284">
        <v>0</v>
      </c>
      <c r="U121" s="284">
        <v>0</v>
      </c>
      <c r="V121" s="284">
        <v>0</v>
      </c>
      <c r="W121" s="284">
        <v>0</v>
      </c>
      <c r="X121" s="284">
        <v>0</v>
      </c>
      <c r="Y121" s="284">
        <v>0</v>
      </c>
      <c r="Z121" s="284">
        <v>0</v>
      </c>
      <c r="AA121" s="284">
        <v>0</v>
      </c>
      <c r="AB121" s="284">
        <v>0</v>
      </c>
      <c r="AC121" s="284">
        <v>115.31</v>
      </c>
      <c r="AD121" s="284">
        <v>115.31</v>
      </c>
      <c r="AE121" s="284">
        <v>0</v>
      </c>
      <c r="AF121" s="284">
        <v>0</v>
      </c>
      <c r="AG121" s="284">
        <v>0</v>
      </c>
      <c r="AH121" s="284">
        <v>0</v>
      </c>
      <c r="AI121" s="284">
        <v>0</v>
      </c>
      <c r="AJ121" s="284">
        <v>0</v>
      </c>
      <c r="AK121" s="284">
        <v>0</v>
      </c>
      <c r="AL121" s="284">
        <v>0</v>
      </c>
      <c r="AM121" s="284">
        <v>0</v>
      </c>
      <c r="AN121" s="284">
        <v>0</v>
      </c>
      <c r="AO121" s="284">
        <v>0</v>
      </c>
      <c r="AP121" s="284">
        <v>0</v>
      </c>
      <c r="AQ121" s="284">
        <v>0</v>
      </c>
      <c r="AR121" s="284">
        <v>0</v>
      </c>
      <c r="AS121" s="284">
        <v>0</v>
      </c>
      <c r="AT121" s="284">
        <v>0</v>
      </c>
      <c r="AU121" s="284">
        <v>0</v>
      </c>
      <c r="AV121" s="284">
        <v>0</v>
      </c>
      <c r="AW121" s="284">
        <v>0</v>
      </c>
      <c r="AX121" s="284">
        <v>0</v>
      </c>
      <c r="AY121" s="284">
        <v>0</v>
      </c>
      <c r="AZ121" s="284">
        <v>0</v>
      </c>
      <c r="BA121" s="284">
        <v>0</v>
      </c>
      <c r="BB121" s="284">
        <v>0</v>
      </c>
      <c r="BC121" s="284">
        <v>0</v>
      </c>
      <c r="BD121" s="284">
        <v>0</v>
      </c>
      <c r="BE121" s="284">
        <v>0</v>
      </c>
      <c r="BF121" s="284">
        <v>0</v>
      </c>
      <c r="BG121" s="284">
        <v>0</v>
      </c>
      <c r="BH121" s="284">
        <v>1278.6400000000001</v>
      </c>
    </row>
    <row r="122" spans="1:60">
      <c r="A122" s="192" t="s">
        <v>194</v>
      </c>
      <c r="B122" s="193">
        <v>0</v>
      </c>
      <c r="C122" s="193">
        <v>829.73</v>
      </c>
      <c r="D122" s="193">
        <v>0</v>
      </c>
      <c r="E122" s="193">
        <v>0</v>
      </c>
      <c r="F122" s="193">
        <v>0</v>
      </c>
      <c r="G122" s="193">
        <v>136.66</v>
      </c>
      <c r="H122" s="193">
        <v>0</v>
      </c>
      <c r="I122" s="193">
        <v>0</v>
      </c>
      <c r="J122" s="193">
        <v>0</v>
      </c>
      <c r="K122" s="193">
        <v>0</v>
      </c>
      <c r="L122" s="193">
        <v>0</v>
      </c>
      <c r="M122" s="193">
        <v>0</v>
      </c>
      <c r="N122" s="193">
        <v>735.99</v>
      </c>
      <c r="O122" s="193">
        <v>0</v>
      </c>
      <c r="P122" s="193">
        <v>0</v>
      </c>
      <c r="Q122" s="193">
        <v>0</v>
      </c>
      <c r="R122" s="193">
        <v>0</v>
      </c>
      <c r="S122" s="193">
        <v>0</v>
      </c>
      <c r="T122" s="193">
        <v>0</v>
      </c>
      <c r="U122" s="193">
        <v>0</v>
      </c>
      <c r="V122" s="193">
        <v>0</v>
      </c>
      <c r="W122" s="193">
        <v>0</v>
      </c>
      <c r="X122" s="193">
        <v>143.97</v>
      </c>
      <c r="Y122" s="193">
        <v>0</v>
      </c>
      <c r="Z122" s="193">
        <v>0</v>
      </c>
      <c r="AA122" s="193">
        <v>0</v>
      </c>
      <c r="AB122" s="193">
        <v>0</v>
      </c>
      <c r="AC122" s="193">
        <v>115.31</v>
      </c>
      <c r="AD122" s="193">
        <v>115.31</v>
      </c>
      <c r="AE122" s="193">
        <v>0</v>
      </c>
      <c r="AF122" s="193">
        <v>0</v>
      </c>
      <c r="AG122" s="193">
        <v>0</v>
      </c>
      <c r="AH122" s="193">
        <v>0</v>
      </c>
      <c r="AI122" s="193">
        <v>0</v>
      </c>
      <c r="AJ122" s="193">
        <v>0</v>
      </c>
      <c r="AK122" s="193">
        <v>0</v>
      </c>
      <c r="AL122" s="193">
        <v>0</v>
      </c>
      <c r="AM122" s="193">
        <v>0</v>
      </c>
      <c r="AN122" s="193">
        <v>0</v>
      </c>
      <c r="AO122" s="193">
        <v>0</v>
      </c>
      <c r="AP122" s="193">
        <v>0</v>
      </c>
      <c r="AQ122" s="193">
        <v>136.66999999999999</v>
      </c>
      <c r="AR122" s="193">
        <v>0</v>
      </c>
      <c r="AS122" s="193">
        <v>0</v>
      </c>
      <c r="AT122" s="193">
        <v>0</v>
      </c>
      <c r="AU122" s="193">
        <v>0</v>
      </c>
      <c r="AV122" s="193">
        <v>0</v>
      </c>
      <c r="AW122" s="193">
        <v>0</v>
      </c>
      <c r="AX122" s="193">
        <v>0</v>
      </c>
      <c r="AY122" s="193">
        <v>0</v>
      </c>
      <c r="AZ122" s="193">
        <v>0</v>
      </c>
      <c r="BA122" s="193">
        <v>0</v>
      </c>
      <c r="BB122" s="193">
        <v>0</v>
      </c>
      <c r="BC122" s="193">
        <v>0</v>
      </c>
      <c r="BD122" s="193">
        <v>0</v>
      </c>
      <c r="BE122" s="193">
        <v>0</v>
      </c>
      <c r="BF122" s="193">
        <v>0</v>
      </c>
      <c r="BG122" s="193">
        <v>0</v>
      </c>
      <c r="BH122" s="193">
        <v>2213.64</v>
      </c>
    </row>
    <row r="123" spans="1:60">
      <c r="A123" s="187" t="s">
        <v>195</v>
      </c>
      <c r="B123" s="284">
        <v>0</v>
      </c>
      <c r="C123" s="284">
        <v>1063.01</v>
      </c>
      <c r="D123" s="284">
        <v>21.46</v>
      </c>
      <c r="E123" s="284">
        <v>15.91</v>
      </c>
      <c r="F123" s="284">
        <v>64.77</v>
      </c>
      <c r="G123" s="284">
        <v>216.19</v>
      </c>
      <c r="H123" s="284">
        <v>105.24</v>
      </c>
      <c r="I123" s="284">
        <v>180.04</v>
      </c>
      <c r="J123" s="284">
        <v>501.71</v>
      </c>
      <c r="K123" s="284">
        <v>212.42</v>
      </c>
      <c r="L123" s="284">
        <v>30.18</v>
      </c>
      <c r="M123" s="284">
        <v>100.16</v>
      </c>
      <c r="N123" s="284">
        <v>420.09</v>
      </c>
      <c r="O123" s="284">
        <v>59.11</v>
      </c>
      <c r="P123" s="284">
        <v>13.87</v>
      </c>
      <c r="Q123" s="284">
        <v>67.02</v>
      </c>
      <c r="R123" s="284">
        <v>0</v>
      </c>
      <c r="S123" s="284">
        <v>0</v>
      </c>
      <c r="T123" s="284">
        <v>425.06</v>
      </c>
      <c r="U123" s="284">
        <v>4.17</v>
      </c>
      <c r="V123" s="284">
        <v>50.04</v>
      </c>
      <c r="W123" s="284">
        <v>79.430000000000007</v>
      </c>
      <c r="X123" s="284">
        <v>597.51</v>
      </c>
      <c r="Y123" s="284">
        <v>0</v>
      </c>
      <c r="Z123" s="284">
        <v>0</v>
      </c>
      <c r="AA123" s="284">
        <v>6.98</v>
      </c>
      <c r="AB123" s="284">
        <v>2.58</v>
      </c>
      <c r="AC123" s="284">
        <v>262.70999999999998</v>
      </c>
      <c r="AD123" s="284">
        <v>66.650000000000006</v>
      </c>
      <c r="AE123" s="284">
        <v>24.8</v>
      </c>
      <c r="AF123" s="284">
        <v>14.29</v>
      </c>
      <c r="AG123" s="284">
        <v>12.42</v>
      </c>
      <c r="AH123" s="284">
        <v>9.68</v>
      </c>
      <c r="AI123" s="284">
        <v>50.97</v>
      </c>
      <c r="AJ123" s="284">
        <v>26.3</v>
      </c>
      <c r="AK123" s="284">
        <v>0</v>
      </c>
      <c r="AL123" s="284">
        <v>35.01</v>
      </c>
      <c r="AM123" s="284">
        <v>4.0599999999999996</v>
      </c>
      <c r="AN123" s="284">
        <v>15.98</v>
      </c>
      <c r="AO123" s="284">
        <v>58.07</v>
      </c>
      <c r="AP123" s="284">
        <v>174.5</v>
      </c>
      <c r="AQ123" s="284">
        <v>7.77</v>
      </c>
      <c r="AR123" s="284">
        <v>0</v>
      </c>
      <c r="AS123" s="284">
        <v>0</v>
      </c>
      <c r="AT123" s="284">
        <v>0</v>
      </c>
      <c r="AU123" s="284">
        <v>0</v>
      </c>
      <c r="AV123" s="284">
        <v>0</v>
      </c>
      <c r="AW123" s="284">
        <v>0</v>
      </c>
      <c r="AX123" s="284">
        <v>0</v>
      </c>
      <c r="AY123" s="284">
        <v>0</v>
      </c>
      <c r="AZ123" s="284">
        <v>0</v>
      </c>
      <c r="BA123" s="284">
        <v>0</v>
      </c>
      <c r="BB123" s="284">
        <v>0</v>
      </c>
      <c r="BC123" s="284">
        <v>0</v>
      </c>
      <c r="BD123" s="284">
        <v>0</v>
      </c>
      <c r="BE123" s="284">
        <v>0</v>
      </c>
      <c r="BF123" s="284">
        <v>0</v>
      </c>
      <c r="BG123" s="284">
        <v>0</v>
      </c>
      <c r="BH123" s="284">
        <v>5014.83</v>
      </c>
    </row>
    <row r="124" spans="1:60">
      <c r="A124" s="187" t="s">
        <v>196</v>
      </c>
      <c r="B124" s="284">
        <v>0</v>
      </c>
      <c r="C124" s="284">
        <v>0</v>
      </c>
      <c r="D124" s="284">
        <v>0</v>
      </c>
      <c r="E124" s="284">
        <v>0</v>
      </c>
      <c r="F124" s="284">
        <v>0</v>
      </c>
      <c r="G124" s="284">
        <v>0</v>
      </c>
      <c r="H124" s="284">
        <v>0</v>
      </c>
      <c r="I124" s="284">
        <v>0</v>
      </c>
      <c r="J124" s="284">
        <v>0</v>
      </c>
      <c r="K124" s="284">
        <v>0</v>
      </c>
      <c r="L124" s="284">
        <v>0</v>
      </c>
      <c r="M124" s="284">
        <v>0</v>
      </c>
      <c r="N124" s="284">
        <v>0</v>
      </c>
      <c r="O124" s="284">
        <v>0</v>
      </c>
      <c r="P124" s="284">
        <v>0</v>
      </c>
      <c r="Q124" s="284">
        <v>0</v>
      </c>
      <c r="R124" s="284">
        <v>0</v>
      </c>
      <c r="S124" s="284">
        <v>0</v>
      </c>
      <c r="T124" s="284">
        <v>0</v>
      </c>
      <c r="U124" s="284">
        <v>0</v>
      </c>
      <c r="V124" s="284">
        <v>0</v>
      </c>
      <c r="W124" s="284">
        <v>0</v>
      </c>
      <c r="X124" s="284">
        <v>0</v>
      </c>
      <c r="Y124" s="284">
        <v>0</v>
      </c>
      <c r="Z124" s="284">
        <v>0</v>
      </c>
      <c r="AA124" s="284">
        <v>0</v>
      </c>
      <c r="AB124" s="284">
        <v>0</v>
      </c>
      <c r="AC124" s="284">
        <v>0</v>
      </c>
      <c r="AD124" s="284">
        <v>0</v>
      </c>
      <c r="AE124" s="284">
        <v>0</v>
      </c>
      <c r="AF124" s="284">
        <v>0</v>
      </c>
      <c r="AG124" s="284">
        <v>0</v>
      </c>
      <c r="AH124" s="284">
        <v>0</v>
      </c>
      <c r="AI124" s="284">
        <v>0</v>
      </c>
      <c r="AJ124" s="284">
        <v>0</v>
      </c>
      <c r="AK124" s="284">
        <v>0</v>
      </c>
      <c r="AL124" s="284">
        <v>0</v>
      </c>
      <c r="AM124" s="284">
        <v>0</v>
      </c>
      <c r="AN124" s="284">
        <v>0</v>
      </c>
      <c r="AO124" s="284">
        <v>0</v>
      </c>
      <c r="AP124" s="284">
        <v>0</v>
      </c>
      <c r="AQ124" s="284">
        <v>0</v>
      </c>
      <c r="AR124" s="284">
        <v>6659.83</v>
      </c>
      <c r="AS124" s="284">
        <v>0</v>
      </c>
      <c r="AT124" s="284">
        <v>0</v>
      </c>
      <c r="AU124" s="284">
        <v>0</v>
      </c>
      <c r="AV124" s="284">
        <v>0</v>
      </c>
      <c r="AW124" s="284">
        <v>0</v>
      </c>
      <c r="AX124" s="284">
        <v>0</v>
      </c>
      <c r="AY124" s="284">
        <v>0</v>
      </c>
      <c r="AZ124" s="284">
        <v>0</v>
      </c>
      <c r="BA124" s="284">
        <v>0</v>
      </c>
      <c r="BB124" s="284">
        <v>0</v>
      </c>
      <c r="BC124" s="284">
        <v>0</v>
      </c>
      <c r="BD124" s="284">
        <v>0</v>
      </c>
      <c r="BE124" s="284">
        <v>0</v>
      </c>
      <c r="BF124" s="284">
        <v>0</v>
      </c>
      <c r="BG124" s="284">
        <v>0</v>
      </c>
      <c r="BH124" s="284">
        <v>6659.83</v>
      </c>
    </row>
    <row r="125" spans="1:60">
      <c r="A125" s="191" t="s">
        <v>197</v>
      </c>
      <c r="B125" s="191"/>
      <c r="C125" s="191"/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  <c r="AF125" s="191"/>
      <c r="AG125" s="191"/>
      <c r="AH125" s="191"/>
      <c r="AI125" s="191"/>
      <c r="AJ125" s="191"/>
      <c r="AK125" s="191"/>
      <c r="AL125" s="191"/>
      <c r="AM125" s="191"/>
      <c r="AN125" s="191"/>
      <c r="AO125" s="191"/>
      <c r="AP125" s="191"/>
      <c r="AQ125" s="191"/>
      <c r="AR125" s="191"/>
      <c r="AS125" s="191"/>
      <c r="AT125" s="191"/>
      <c r="AU125" s="191"/>
      <c r="AV125" s="191"/>
      <c r="AW125" s="191"/>
      <c r="AX125" s="191"/>
      <c r="AY125" s="191"/>
      <c r="AZ125" s="191"/>
      <c r="BA125" s="191"/>
      <c r="BB125" s="191"/>
      <c r="BC125" s="191"/>
      <c r="BD125" s="191"/>
      <c r="BE125" s="191"/>
      <c r="BF125" s="191"/>
      <c r="BG125" s="191"/>
      <c r="BH125" s="191"/>
    </row>
    <row r="126" spans="1:60">
      <c r="A126" s="187" t="s">
        <v>198</v>
      </c>
      <c r="B126" s="284">
        <v>0</v>
      </c>
      <c r="C126" s="284">
        <v>311.86</v>
      </c>
      <c r="D126" s="284">
        <v>35.32</v>
      </c>
      <c r="E126" s="284">
        <v>0</v>
      </c>
      <c r="F126" s="284">
        <v>0</v>
      </c>
      <c r="G126" s="284">
        <v>35.17</v>
      </c>
      <c r="H126" s="284">
        <v>0</v>
      </c>
      <c r="I126" s="284">
        <v>0</v>
      </c>
      <c r="J126" s="284">
        <v>35.17</v>
      </c>
      <c r="K126" s="284">
        <v>0</v>
      </c>
      <c r="L126" s="284">
        <v>0</v>
      </c>
      <c r="M126" s="284">
        <v>0</v>
      </c>
      <c r="N126" s="284">
        <v>200</v>
      </c>
      <c r="O126" s="284">
        <v>0</v>
      </c>
      <c r="P126" s="284">
        <v>0</v>
      </c>
      <c r="Q126" s="284">
        <v>0</v>
      </c>
      <c r="R126" s="284">
        <v>0</v>
      </c>
      <c r="S126" s="284">
        <v>0</v>
      </c>
      <c r="T126" s="284">
        <v>0</v>
      </c>
      <c r="U126" s="284">
        <v>0</v>
      </c>
      <c r="V126" s="284">
        <v>0</v>
      </c>
      <c r="W126" s="284">
        <v>0</v>
      </c>
      <c r="X126" s="284">
        <v>0</v>
      </c>
      <c r="Y126" s="284">
        <v>0</v>
      </c>
      <c r="Z126" s="284">
        <v>0</v>
      </c>
      <c r="AA126" s="284">
        <v>0</v>
      </c>
      <c r="AB126" s="284">
        <v>0</v>
      </c>
      <c r="AC126" s="284">
        <v>35.32</v>
      </c>
      <c r="AD126" s="284">
        <v>0</v>
      </c>
      <c r="AE126" s="284">
        <v>0</v>
      </c>
      <c r="AF126" s="284">
        <v>0</v>
      </c>
      <c r="AG126" s="284">
        <v>0</v>
      </c>
      <c r="AH126" s="284">
        <v>0</v>
      </c>
      <c r="AI126" s="284">
        <v>0</v>
      </c>
      <c r="AJ126" s="284">
        <v>0</v>
      </c>
      <c r="AK126" s="284">
        <v>0</v>
      </c>
      <c r="AL126" s="284">
        <v>0</v>
      </c>
      <c r="AM126" s="284">
        <v>0</v>
      </c>
      <c r="AN126" s="284">
        <v>35.32</v>
      </c>
      <c r="AO126" s="284">
        <v>0</v>
      </c>
      <c r="AP126" s="284">
        <v>0</v>
      </c>
      <c r="AQ126" s="284">
        <v>115.12</v>
      </c>
      <c r="AR126" s="284">
        <v>0</v>
      </c>
      <c r="AS126" s="284">
        <v>0</v>
      </c>
      <c r="AT126" s="284">
        <v>0</v>
      </c>
      <c r="AU126" s="284">
        <v>0</v>
      </c>
      <c r="AV126" s="284">
        <v>0</v>
      </c>
      <c r="AW126" s="284">
        <v>0</v>
      </c>
      <c r="AX126" s="284">
        <v>0</v>
      </c>
      <c r="AY126" s="284">
        <v>0</v>
      </c>
      <c r="AZ126" s="284">
        <v>0</v>
      </c>
      <c r="BA126" s="284">
        <v>0</v>
      </c>
      <c r="BB126" s="284">
        <v>0</v>
      </c>
      <c r="BC126" s="284">
        <v>0</v>
      </c>
      <c r="BD126" s="284">
        <v>0</v>
      </c>
      <c r="BE126" s="284">
        <v>0</v>
      </c>
      <c r="BF126" s="284">
        <v>0</v>
      </c>
      <c r="BG126" s="284">
        <v>0</v>
      </c>
      <c r="BH126" s="284">
        <v>803.28</v>
      </c>
    </row>
    <row r="127" spans="1:60">
      <c r="A127" s="187" t="s">
        <v>199</v>
      </c>
      <c r="B127" s="284">
        <v>0</v>
      </c>
      <c r="C127" s="284">
        <v>440.87</v>
      </c>
      <c r="D127" s="284">
        <v>114.37</v>
      </c>
      <c r="E127" s="284">
        <v>12.39</v>
      </c>
      <c r="F127" s="284">
        <v>0</v>
      </c>
      <c r="G127" s="284">
        <v>66.5</v>
      </c>
      <c r="H127" s="284">
        <v>0</v>
      </c>
      <c r="I127" s="284">
        <v>43.37</v>
      </c>
      <c r="J127" s="284">
        <v>137.5</v>
      </c>
      <c r="K127" s="284">
        <v>43.37</v>
      </c>
      <c r="L127" s="284">
        <v>0</v>
      </c>
      <c r="M127" s="284">
        <v>0</v>
      </c>
      <c r="N127" s="284">
        <v>185.37</v>
      </c>
      <c r="O127" s="284">
        <v>0</v>
      </c>
      <c r="P127" s="284">
        <v>0</v>
      </c>
      <c r="Q127" s="284">
        <v>0</v>
      </c>
      <c r="R127" s="284">
        <v>0</v>
      </c>
      <c r="S127" s="284">
        <v>0</v>
      </c>
      <c r="T127" s="284">
        <v>55.76</v>
      </c>
      <c r="U127" s="284">
        <v>0</v>
      </c>
      <c r="V127" s="284">
        <v>0</v>
      </c>
      <c r="W127" s="284">
        <v>43.37</v>
      </c>
      <c r="X127" s="284">
        <v>0</v>
      </c>
      <c r="Y127" s="284">
        <v>0</v>
      </c>
      <c r="Z127" s="284">
        <v>0</v>
      </c>
      <c r="AA127" s="284">
        <v>0</v>
      </c>
      <c r="AB127" s="284">
        <v>0</v>
      </c>
      <c r="AC127" s="284">
        <v>2339.5</v>
      </c>
      <c r="AD127" s="284">
        <v>0</v>
      </c>
      <c r="AE127" s="284">
        <v>63</v>
      </c>
      <c r="AF127" s="284">
        <v>0</v>
      </c>
      <c r="AG127" s="284">
        <v>0</v>
      </c>
      <c r="AH127" s="284">
        <v>0</v>
      </c>
      <c r="AI127" s="284">
        <v>0</v>
      </c>
      <c r="AJ127" s="284">
        <v>0</v>
      </c>
      <c r="AK127" s="284">
        <v>0</v>
      </c>
      <c r="AL127" s="284">
        <v>55.76</v>
      </c>
      <c r="AM127" s="284">
        <v>0</v>
      </c>
      <c r="AN127" s="284">
        <v>145.5</v>
      </c>
      <c r="AO127" s="284">
        <v>115.5</v>
      </c>
      <c r="AP127" s="284">
        <v>0</v>
      </c>
      <c r="AQ127" s="284">
        <v>66.5</v>
      </c>
      <c r="AR127" s="284">
        <v>0</v>
      </c>
      <c r="AS127" s="284">
        <v>0</v>
      </c>
      <c r="AT127" s="284">
        <v>0</v>
      </c>
      <c r="AU127" s="284">
        <v>0</v>
      </c>
      <c r="AV127" s="284">
        <v>0</v>
      </c>
      <c r="AW127" s="284">
        <v>0</v>
      </c>
      <c r="AX127" s="284">
        <v>0</v>
      </c>
      <c r="AY127" s="284">
        <v>0</v>
      </c>
      <c r="AZ127" s="284">
        <v>0</v>
      </c>
      <c r="BA127" s="284">
        <v>0</v>
      </c>
      <c r="BB127" s="284">
        <v>0</v>
      </c>
      <c r="BC127" s="284">
        <v>0</v>
      </c>
      <c r="BD127" s="284">
        <v>0</v>
      </c>
      <c r="BE127" s="284">
        <v>0</v>
      </c>
      <c r="BF127" s="284">
        <v>0</v>
      </c>
      <c r="BG127" s="284">
        <v>0</v>
      </c>
      <c r="BH127" s="284">
        <v>3928.63</v>
      </c>
    </row>
    <row r="128" spans="1:60">
      <c r="A128" s="187" t="s">
        <v>200</v>
      </c>
      <c r="B128" s="284">
        <v>0</v>
      </c>
      <c r="C128" s="284">
        <v>0</v>
      </c>
      <c r="D128" s="284">
        <v>0</v>
      </c>
      <c r="E128" s="284">
        <v>0</v>
      </c>
      <c r="F128" s="284">
        <v>0</v>
      </c>
      <c r="G128" s="284">
        <v>0</v>
      </c>
      <c r="H128" s="284">
        <v>0</v>
      </c>
      <c r="I128" s="284">
        <v>0</v>
      </c>
      <c r="J128" s="284">
        <v>0</v>
      </c>
      <c r="K128" s="284">
        <v>0</v>
      </c>
      <c r="L128" s="284">
        <v>0</v>
      </c>
      <c r="M128" s="284">
        <v>0</v>
      </c>
      <c r="N128" s="284">
        <v>0</v>
      </c>
      <c r="O128" s="284">
        <v>0</v>
      </c>
      <c r="P128" s="284">
        <v>0</v>
      </c>
      <c r="Q128" s="284">
        <v>0</v>
      </c>
      <c r="R128" s="284">
        <v>0</v>
      </c>
      <c r="S128" s="284">
        <v>0</v>
      </c>
      <c r="T128" s="284">
        <v>0</v>
      </c>
      <c r="U128" s="284">
        <v>0</v>
      </c>
      <c r="V128" s="284">
        <v>0</v>
      </c>
      <c r="W128" s="284">
        <v>0</v>
      </c>
      <c r="X128" s="284">
        <v>0</v>
      </c>
      <c r="Y128" s="284">
        <v>0</v>
      </c>
      <c r="Z128" s="284">
        <v>0</v>
      </c>
      <c r="AA128" s="284">
        <v>0</v>
      </c>
      <c r="AB128" s="284">
        <v>0</v>
      </c>
      <c r="AC128" s="284">
        <v>0</v>
      </c>
      <c r="AD128" s="284">
        <v>0</v>
      </c>
      <c r="AE128" s="284">
        <v>0</v>
      </c>
      <c r="AF128" s="284">
        <v>0</v>
      </c>
      <c r="AG128" s="284">
        <v>0</v>
      </c>
      <c r="AH128" s="284">
        <v>0</v>
      </c>
      <c r="AI128" s="284">
        <v>0</v>
      </c>
      <c r="AJ128" s="284">
        <v>0</v>
      </c>
      <c r="AK128" s="284">
        <v>0</v>
      </c>
      <c r="AL128" s="284">
        <v>0</v>
      </c>
      <c r="AM128" s="284">
        <v>0</v>
      </c>
      <c r="AN128" s="284">
        <v>0</v>
      </c>
      <c r="AO128" s="284">
        <v>0</v>
      </c>
      <c r="AP128" s="284">
        <v>0</v>
      </c>
      <c r="AQ128" s="284">
        <v>0</v>
      </c>
      <c r="AR128" s="284">
        <v>1870.84</v>
      </c>
      <c r="AS128" s="284">
        <v>0</v>
      </c>
      <c r="AT128" s="284">
        <v>0</v>
      </c>
      <c r="AU128" s="284">
        <v>0</v>
      </c>
      <c r="AV128" s="284">
        <v>0</v>
      </c>
      <c r="AW128" s="284">
        <v>0</v>
      </c>
      <c r="AX128" s="284">
        <v>0</v>
      </c>
      <c r="AY128" s="284">
        <v>0</v>
      </c>
      <c r="AZ128" s="284">
        <v>0</v>
      </c>
      <c r="BA128" s="284">
        <v>0</v>
      </c>
      <c r="BB128" s="284">
        <v>0</v>
      </c>
      <c r="BC128" s="284">
        <v>0</v>
      </c>
      <c r="BD128" s="284">
        <v>0</v>
      </c>
      <c r="BE128" s="284">
        <v>0</v>
      </c>
      <c r="BF128" s="284">
        <v>0</v>
      </c>
      <c r="BG128" s="284">
        <v>0</v>
      </c>
      <c r="BH128" s="284">
        <v>1870.84</v>
      </c>
    </row>
    <row r="129" spans="1:60">
      <c r="A129" s="192" t="s">
        <v>201</v>
      </c>
      <c r="B129" s="193">
        <v>0</v>
      </c>
      <c r="C129" s="193">
        <v>752.73</v>
      </c>
      <c r="D129" s="193">
        <v>149.69</v>
      </c>
      <c r="E129" s="193">
        <v>12.39</v>
      </c>
      <c r="F129" s="193">
        <v>0</v>
      </c>
      <c r="G129" s="193">
        <v>101.67</v>
      </c>
      <c r="H129" s="193">
        <v>0</v>
      </c>
      <c r="I129" s="193">
        <v>43.37</v>
      </c>
      <c r="J129" s="193">
        <v>172.67</v>
      </c>
      <c r="K129" s="193">
        <v>43.37</v>
      </c>
      <c r="L129" s="193">
        <v>0</v>
      </c>
      <c r="M129" s="193">
        <v>0</v>
      </c>
      <c r="N129" s="193">
        <v>385.37</v>
      </c>
      <c r="O129" s="193">
        <v>0</v>
      </c>
      <c r="P129" s="193">
        <v>0</v>
      </c>
      <c r="Q129" s="193">
        <v>0</v>
      </c>
      <c r="R129" s="193">
        <v>0</v>
      </c>
      <c r="S129" s="193">
        <v>0</v>
      </c>
      <c r="T129" s="193">
        <v>55.76</v>
      </c>
      <c r="U129" s="193">
        <v>0</v>
      </c>
      <c r="V129" s="193">
        <v>0</v>
      </c>
      <c r="W129" s="193">
        <v>43.37</v>
      </c>
      <c r="X129" s="193">
        <v>0</v>
      </c>
      <c r="Y129" s="193">
        <v>0</v>
      </c>
      <c r="Z129" s="193">
        <v>0</v>
      </c>
      <c r="AA129" s="193">
        <v>0</v>
      </c>
      <c r="AB129" s="193">
        <v>0</v>
      </c>
      <c r="AC129" s="193">
        <v>2374.8200000000002</v>
      </c>
      <c r="AD129" s="193">
        <v>0</v>
      </c>
      <c r="AE129" s="193">
        <v>63</v>
      </c>
      <c r="AF129" s="193">
        <v>0</v>
      </c>
      <c r="AG129" s="193">
        <v>0</v>
      </c>
      <c r="AH129" s="193">
        <v>0</v>
      </c>
      <c r="AI129" s="193">
        <v>0</v>
      </c>
      <c r="AJ129" s="193">
        <v>0</v>
      </c>
      <c r="AK129" s="193">
        <v>0</v>
      </c>
      <c r="AL129" s="193">
        <v>55.76</v>
      </c>
      <c r="AM129" s="193">
        <v>0</v>
      </c>
      <c r="AN129" s="193">
        <v>180.82</v>
      </c>
      <c r="AO129" s="193">
        <v>115.5</v>
      </c>
      <c r="AP129" s="193">
        <v>0</v>
      </c>
      <c r="AQ129" s="193">
        <v>181.62</v>
      </c>
      <c r="AR129" s="193">
        <v>1870.84</v>
      </c>
      <c r="AS129" s="193">
        <v>0</v>
      </c>
      <c r="AT129" s="193">
        <v>0</v>
      </c>
      <c r="AU129" s="193">
        <v>0</v>
      </c>
      <c r="AV129" s="193">
        <v>0</v>
      </c>
      <c r="AW129" s="193">
        <v>0</v>
      </c>
      <c r="AX129" s="193">
        <v>0</v>
      </c>
      <c r="AY129" s="193">
        <v>0</v>
      </c>
      <c r="AZ129" s="193">
        <v>0</v>
      </c>
      <c r="BA129" s="193">
        <v>0</v>
      </c>
      <c r="BB129" s="193">
        <v>0</v>
      </c>
      <c r="BC129" s="193">
        <v>0</v>
      </c>
      <c r="BD129" s="193">
        <v>0</v>
      </c>
      <c r="BE129" s="193">
        <v>0</v>
      </c>
      <c r="BF129" s="193">
        <v>0</v>
      </c>
      <c r="BG129" s="193">
        <v>0</v>
      </c>
      <c r="BH129" s="193">
        <v>6602.75</v>
      </c>
    </row>
    <row r="130" spans="1:60">
      <c r="A130" s="191" t="s">
        <v>202</v>
      </c>
      <c r="B130" s="19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1"/>
      <c r="Q130" s="191"/>
      <c r="R130" s="191"/>
      <c r="S130" s="191"/>
      <c r="T130" s="191"/>
      <c r="U130" s="191"/>
      <c r="V130" s="191"/>
      <c r="W130" s="191"/>
      <c r="X130" s="191"/>
      <c r="Y130" s="191"/>
      <c r="Z130" s="191"/>
      <c r="AA130" s="191"/>
      <c r="AB130" s="191"/>
      <c r="AC130" s="191"/>
      <c r="AD130" s="191"/>
      <c r="AE130" s="191"/>
      <c r="AF130" s="191"/>
      <c r="AG130" s="191"/>
      <c r="AH130" s="191"/>
      <c r="AI130" s="191"/>
      <c r="AJ130" s="191"/>
      <c r="AK130" s="191"/>
      <c r="AL130" s="191"/>
      <c r="AM130" s="191"/>
      <c r="AN130" s="191"/>
      <c r="AO130" s="191"/>
      <c r="AP130" s="191"/>
      <c r="AQ130" s="191"/>
      <c r="AR130" s="191"/>
      <c r="AS130" s="191"/>
      <c r="AT130" s="191"/>
      <c r="AU130" s="191"/>
      <c r="AV130" s="191"/>
      <c r="AW130" s="191"/>
      <c r="AX130" s="191"/>
      <c r="AY130" s="191"/>
      <c r="AZ130" s="191"/>
      <c r="BA130" s="191"/>
      <c r="BB130" s="191"/>
      <c r="BC130" s="191"/>
      <c r="BD130" s="191"/>
      <c r="BE130" s="191"/>
      <c r="BF130" s="191"/>
      <c r="BG130" s="191"/>
      <c r="BH130" s="191"/>
    </row>
    <row r="131" spans="1:60">
      <c r="A131" s="187" t="s">
        <v>203</v>
      </c>
      <c r="B131" s="284">
        <v>0</v>
      </c>
      <c r="C131" s="284">
        <v>0</v>
      </c>
      <c r="D131" s="284">
        <v>0</v>
      </c>
      <c r="E131" s="284">
        <v>0</v>
      </c>
      <c r="F131" s="284">
        <v>0</v>
      </c>
      <c r="G131" s="284">
        <v>0</v>
      </c>
      <c r="H131" s="284">
        <v>0</v>
      </c>
      <c r="I131" s="284">
        <v>0</v>
      </c>
      <c r="J131" s="284">
        <v>0</v>
      </c>
      <c r="K131" s="284">
        <v>0</v>
      </c>
      <c r="L131" s="284">
        <v>0</v>
      </c>
      <c r="M131" s="284">
        <v>0</v>
      </c>
      <c r="N131" s="284">
        <v>0</v>
      </c>
      <c r="O131" s="284">
        <v>0</v>
      </c>
      <c r="P131" s="284">
        <v>0</v>
      </c>
      <c r="Q131" s="284">
        <v>0</v>
      </c>
      <c r="R131" s="284">
        <v>0</v>
      </c>
      <c r="S131" s="284">
        <v>0</v>
      </c>
      <c r="T131" s="284">
        <v>0</v>
      </c>
      <c r="U131" s="284">
        <v>0</v>
      </c>
      <c r="V131" s="284">
        <v>0</v>
      </c>
      <c r="W131" s="284">
        <v>0</v>
      </c>
      <c r="X131" s="284">
        <v>0</v>
      </c>
      <c r="Y131" s="284">
        <v>0</v>
      </c>
      <c r="Z131" s="284">
        <v>0</v>
      </c>
      <c r="AA131" s="284">
        <v>0</v>
      </c>
      <c r="AB131" s="284">
        <v>0</v>
      </c>
      <c r="AC131" s="284">
        <v>0</v>
      </c>
      <c r="AD131" s="284">
        <v>0</v>
      </c>
      <c r="AE131" s="284">
        <v>0</v>
      </c>
      <c r="AF131" s="284">
        <v>0</v>
      </c>
      <c r="AG131" s="284">
        <v>0</v>
      </c>
      <c r="AH131" s="284">
        <v>0</v>
      </c>
      <c r="AI131" s="284">
        <v>0</v>
      </c>
      <c r="AJ131" s="284">
        <v>1020</v>
      </c>
      <c r="AK131" s="284">
        <v>3968.86</v>
      </c>
      <c r="AL131" s="284">
        <v>12269.53</v>
      </c>
      <c r="AM131" s="284">
        <v>0</v>
      </c>
      <c r="AN131" s="284">
        <v>29425</v>
      </c>
      <c r="AO131" s="284">
        <v>51381</v>
      </c>
      <c r="AP131" s="284">
        <v>0</v>
      </c>
      <c r="AQ131" s="284">
        <v>0</v>
      </c>
      <c r="AR131" s="284">
        <v>59100</v>
      </c>
      <c r="AS131" s="284">
        <v>0</v>
      </c>
      <c r="AT131" s="284">
        <v>0</v>
      </c>
      <c r="AU131" s="284">
        <v>0</v>
      </c>
      <c r="AV131" s="284">
        <v>0</v>
      </c>
      <c r="AW131" s="284">
        <v>0</v>
      </c>
      <c r="AX131" s="284">
        <v>0</v>
      </c>
      <c r="AY131" s="284">
        <v>0</v>
      </c>
      <c r="AZ131" s="284">
        <v>0</v>
      </c>
      <c r="BA131" s="284">
        <v>0</v>
      </c>
      <c r="BB131" s="284">
        <v>0</v>
      </c>
      <c r="BC131" s="284">
        <v>0</v>
      </c>
      <c r="BD131" s="284">
        <v>0</v>
      </c>
      <c r="BE131" s="284">
        <v>0</v>
      </c>
      <c r="BF131" s="284">
        <v>0</v>
      </c>
      <c r="BG131" s="284">
        <v>0</v>
      </c>
      <c r="BH131" s="284">
        <v>302914.31</v>
      </c>
    </row>
    <row r="132" spans="1:60">
      <c r="A132" s="187" t="s">
        <v>204</v>
      </c>
      <c r="B132" s="284">
        <v>0</v>
      </c>
      <c r="C132" s="284">
        <v>0</v>
      </c>
      <c r="D132" s="284">
        <v>0</v>
      </c>
      <c r="E132" s="284">
        <v>0</v>
      </c>
      <c r="F132" s="284">
        <v>0</v>
      </c>
      <c r="G132" s="284">
        <v>0</v>
      </c>
      <c r="H132" s="284">
        <v>0</v>
      </c>
      <c r="I132" s="284">
        <v>0</v>
      </c>
      <c r="J132" s="284">
        <v>0</v>
      </c>
      <c r="K132" s="284">
        <v>0</v>
      </c>
      <c r="L132" s="284">
        <v>0</v>
      </c>
      <c r="M132" s="284">
        <v>0</v>
      </c>
      <c r="N132" s="284">
        <v>783.11</v>
      </c>
      <c r="O132" s="284">
        <v>0</v>
      </c>
      <c r="P132" s="284">
        <v>0</v>
      </c>
      <c r="Q132" s="284">
        <v>0</v>
      </c>
      <c r="R132" s="284">
        <v>0</v>
      </c>
      <c r="S132" s="284">
        <v>0</v>
      </c>
      <c r="T132" s="284">
        <v>0</v>
      </c>
      <c r="U132" s="284">
        <v>0</v>
      </c>
      <c r="V132" s="284">
        <v>0</v>
      </c>
      <c r="W132" s="284">
        <v>0</v>
      </c>
      <c r="X132" s="284">
        <v>0</v>
      </c>
      <c r="Y132" s="284">
        <v>0</v>
      </c>
      <c r="Z132" s="284">
        <v>0</v>
      </c>
      <c r="AA132" s="284">
        <v>0</v>
      </c>
      <c r="AB132" s="284">
        <v>0</v>
      </c>
      <c r="AC132" s="284">
        <v>0</v>
      </c>
      <c r="AD132" s="284">
        <v>0</v>
      </c>
      <c r="AE132" s="284">
        <v>0</v>
      </c>
      <c r="AF132" s="284">
        <v>0</v>
      </c>
      <c r="AG132" s="284">
        <v>0</v>
      </c>
      <c r="AH132" s="284">
        <v>0</v>
      </c>
      <c r="AI132" s="284">
        <v>0</v>
      </c>
      <c r="AJ132" s="284">
        <v>0</v>
      </c>
      <c r="AK132" s="284">
        <v>0</v>
      </c>
      <c r="AL132" s="284">
        <v>0</v>
      </c>
      <c r="AM132" s="284">
        <v>0</v>
      </c>
      <c r="AN132" s="284">
        <v>0</v>
      </c>
      <c r="AO132" s="284">
        <v>0</v>
      </c>
      <c r="AP132" s="284">
        <v>0</v>
      </c>
      <c r="AQ132" s="284">
        <v>0</v>
      </c>
      <c r="AR132" s="284">
        <v>0</v>
      </c>
      <c r="AS132" s="284">
        <v>0</v>
      </c>
      <c r="AT132" s="284">
        <v>0</v>
      </c>
      <c r="AU132" s="284">
        <v>0</v>
      </c>
      <c r="AV132" s="284">
        <v>0</v>
      </c>
      <c r="AW132" s="284">
        <v>0</v>
      </c>
      <c r="AX132" s="284">
        <v>0</v>
      </c>
      <c r="AY132" s="284">
        <v>0</v>
      </c>
      <c r="AZ132" s="284">
        <v>0</v>
      </c>
      <c r="BA132" s="284">
        <v>0</v>
      </c>
      <c r="BB132" s="284">
        <v>0</v>
      </c>
      <c r="BC132" s="284">
        <v>0</v>
      </c>
      <c r="BD132" s="284">
        <v>0</v>
      </c>
      <c r="BE132" s="284">
        <v>0</v>
      </c>
      <c r="BF132" s="284">
        <v>0</v>
      </c>
      <c r="BG132" s="284">
        <v>0</v>
      </c>
      <c r="BH132" s="284">
        <v>783.11</v>
      </c>
    </row>
    <row r="133" spans="1:60">
      <c r="A133" s="187" t="s">
        <v>205</v>
      </c>
      <c r="B133" s="284">
        <v>0</v>
      </c>
      <c r="C133" s="284">
        <v>0</v>
      </c>
      <c r="D133" s="284">
        <v>0</v>
      </c>
      <c r="E133" s="284">
        <v>0</v>
      </c>
      <c r="F133" s="284">
        <v>0</v>
      </c>
      <c r="G133" s="284">
        <v>0</v>
      </c>
      <c r="H133" s="284">
        <v>0</v>
      </c>
      <c r="I133" s="284">
        <v>0</v>
      </c>
      <c r="J133" s="284">
        <v>0</v>
      </c>
      <c r="K133" s="284">
        <v>0</v>
      </c>
      <c r="L133" s="284">
        <v>0</v>
      </c>
      <c r="M133" s="284">
        <v>0</v>
      </c>
      <c r="N133" s="284">
        <v>1055.27</v>
      </c>
      <c r="O133" s="284">
        <v>0</v>
      </c>
      <c r="P133" s="284">
        <v>0</v>
      </c>
      <c r="Q133" s="284">
        <v>0</v>
      </c>
      <c r="R133" s="284">
        <v>0</v>
      </c>
      <c r="S133" s="284">
        <v>0</v>
      </c>
      <c r="T133" s="284">
        <v>0</v>
      </c>
      <c r="U133" s="284">
        <v>0</v>
      </c>
      <c r="V133" s="284">
        <v>0</v>
      </c>
      <c r="W133" s="284">
        <v>0</v>
      </c>
      <c r="X133" s="284">
        <v>0</v>
      </c>
      <c r="Y133" s="284">
        <v>0</v>
      </c>
      <c r="Z133" s="284">
        <v>0</v>
      </c>
      <c r="AA133" s="284">
        <v>0</v>
      </c>
      <c r="AB133" s="284">
        <v>0</v>
      </c>
      <c r="AC133" s="284">
        <v>0</v>
      </c>
      <c r="AD133" s="284">
        <v>0</v>
      </c>
      <c r="AE133" s="284">
        <v>0</v>
      </c>
      <c r="AF133" s="284">
        <v>0</v>
      </c>
      <c r="AG133" s="284">
        <v>0</v>
      </c>
      <c r="AH133" s="284">
        <v>0</v>
      </c>
      <c r="AI133" s="284">
        <v>0</v>
      </c>
      <c r="AJ133" s="284">
        <v>0</v>
      </c>
      <c r="AK133" s="284">
        <v>0</v>
      </c>
      <c r="AL133" s="284">
        <v>0</v>
      </c>
      <c r="AM133" s="284">
        <v>0</v>
      </c>
      <c r="AN133" s="284">
        <v>0</v>
      </c>
      <c r="AO133" s="284">
        <v>0</v>
      </c>
      <c r="AP133" s="284">
        <v>0</v>
      </c>
      <c r="AQ133" s="284">
        <v>0</v>
      </c>
      <c r="AR133" s="284">
        <v>0</v>
      </c>
      <c r="AS133" s="284">
        <v>0</v>
      </c>
      <c r="AT133" s="284">
        <v>0</v>
      </c>
      <c r="AU133" s="284">
        <v>0</v>
      </c>
      <c r="AV133" s="284">
        <v>0</v>
      </c>
      <c r="AW133" s="284">
        <v>0</v>
      </c>
      <c r="AX133" s="284">
        <v>0</v>
      </c>
      <c r="AY133" s="284">
        <v>0</v>
      </c>
      <c r="AZ133" s="284">
        <v>0</v>
      </c>
      <c r="BA133" s="284">
        <v>0</v>
      </c>
      <c r="BB133" s="284">
        <v>0</v>
      </c>
      <c r="BC133" s="284">
        <v>0</v>
      </c>
      <c r="BD133" s="284">
        <v>0</v>
      </c>
      <c r="BE133" s="284">
        <v>0</v>
      </c>
      <c r="BF133" s="284">
        <v>0</v>
      </c>
      <c r="BG133" s="284">
        <v>0</v>
      </c>
      <c r="BH133" s="284">
        <v>1055.27</v>
      </c>
    </row>
    <row r="134" spans="1:60">
      <c r="A134" s="187" t="s">
        <v>206</v>
      </c>
      <c r="B134" s="284">
        <v>0</v>
      </c>
      <c r="C134" s="284">
        <v>0</v>
      </c>
      <c r="D134" s="284">
        <v>0</v>
      </c>
      <c r="E134" s="284">
        <v>0</v>
      </c>
      <c r="F134" s="284">
        <v>0</v>
      </c>
      <c r="G134" s="284">
        <v>0</v>
      </c>
      <c r="H134" s="284">
        <v>0</v>
      </c>
      <c r="I134" s="284">
        <v>0</v>
      </c>
      <c r="J134" s="284">
        <v>0</v>
      </c>
      <c r="K134" s="284">
        <v>0</v>
      </c>
      <c r="L134" s="284">
        <v>0</v>
      </c>
      <c r="M134" s="284">
        <v>0</v>
      </c>
      <c r="N134" s="284">
        <v>-546.79999999999995</v>
      </c>
      <c r="O134" s="284">
        <v>0</v>
      </c>
      <c r="P134" s="284">
        <v>0</v>
      </c>
      <c r="Q134" s="284">
        <v>0</v>
      </c>
      <c r="R134" s="284">
        <v>0</v>
      </c>
      <c r="S134" s="284">
        <v>0</v>
      </c>
      <c r="T134" s="284">
        <v>0</v>
      </c>
      <c r="U134" s="284">
        <v>0</v>
      </c>
      <c r="V134" s="284">
        <v>0</v>
      </c>
      <c r="W134" s="284">
        <v>0</v>
      </c>
      <c r="X134" s="284">
        <v>0</v>
      </c>
      <c r="Y134" s="284">
        <v>0</v>
      </c>
      <c r="Z134" s="284">
        <v>0</v>
      </c>
      <c r="AA134" s="284">
        <v>0</v>
      </c>
      <c r="AB134" s="284">
        <v>0</v>
      </c>
      <c r="AC134" s="284">
        <v>0</v>
      </c>
      <c r="AD134" s="284">
        <v>0</v>
      </c>
      <c r="AE134" s="284">
        <v>0</v>
      </c>
      <c r="AF134" s="284">
        <v>0</v>
      </c>
      <c r="AG134" s="284">
        <v>0</v>
      </c>
      <c r="AH134" s="284">
        <v>0</v>
      </c>
      <c r="AI134" s="284">
        <v>0</v>
      </c>
      <c r="AJ134" s="284">
        <v>0</v>
      </c>
      <c r="AK134" s="284">
        <v>0</v>
      </c>
      <c r="AL134" s="284">
        <v>0</v>
      </c>
      <c r="AM134" s="284">
        <v>0</v>
      </c>
      <c r="AN134" s="284">
        <v>0</v>
      </c>
      <c r="AO134" s="284">
        <v>0</v>
      </c>
      <c r="AP134" s="284">
        <v>0</v>
      </c>
      <c r="AQ134" s="284">
        <v>0</v>
      </c>
      <c r="AR134" s="284">
        <v>0</v>
      </c>
      <c r="AS134" s="284">
        <v>0</v>
      </c>
      <c r="AT134" s="284">
        <v>0</v>
      </c>
      <c r="AU134" s="284">
        <v>0</v>
      </c>
      <c r="AV134" s="284">
        <v>0</v>
      </c>
      <c r="AW134" s="284">
        <v>0</v>
      </c>
      <c r="AX134" s="284">
        <v>0</v>
      </c>
      <c r="AY134" s="284">
        <v>0</v>
      </c>
      <c r="AZ134" s="284">
        <v>0</v>
      </c>
      <c r="BA134" s="284">
        <v>0</v>
      </c>
      <c r="BB134" s="284">
        <v>0</v>
      </c>
      <c r="BC134" s="284">
        <v>0</v>
      </c>
      <c r="BD134" s="284">
        <v>0</v>
      </c>
      <c r="BE134" s="284">
        <v>0</v>
      </c>
      <c r="BF134" s="284">
        <v>0</v>
      </c>
      <c r="BG134" s="284">
        <v>0</v>
      </c>
      <c r="BH134" s="284">
        <v>-546.79999999999995</v>
      </c>
    </row>
    <row r="135" spans="1:60">
      <c r="A135" s="187" t="s">
        <v>207</v>
      </c>
      <c r="B135" s="284">
        <v>0</v>
      </c>
      <c r="C135" s="284">
        <v>0</v>
      </c>
      <c r="D135" s="284">
        <v>0</v>
      </c>
      <c r="E135" s="284">
        <v>0</v>
      </c>
      <c r="F135" s="284">
        <v>0</v>
      </c>
      <c r="G135" s="284">
        <v>0</v>
      </c>
      <c r="H135" s="284">
        <v>0</v>
      </c>
      <c r="I135" s="284">
        <v>0</v>
      </c>
      <c r="J135" s="284">
        <v>0</v>
      </c>
      <c r="K135" s="284">
        <v>0</v>
      </c>
      <c r="L135" s="284">
        <v>0</v>
      </c>
      <c r="M135" s="284">
        <v>0</v>
      </c>
      <c r="N135" s="284">
        <v>0</v>
      </c>
      <c r="O135" s="284">
        <v>0</v>
      </c>
      <c r="P135" s="284">
        <v>0</v>
      </c>
      <c r="Q135" s="284">
        <v>0</v>
      </c>
      <c r="R135" s="284">
        <v>0</v>
      </c>
      <c r="S135" s="284">
        <v>0</v>
      </c>
      <c r="T135" s="284">
        <v>0</v>
      </c>
      <c r="U135" s="284">
        <v>0</v>
      </c>
      <c r="V135" s="284">
        <v>0</v>
      </c>
      <c r="W135" s="284">
        <v>0</v>
      </c>
      <c r="X135" s="284">
        <v>0</v>
      </c>
      <c r="Y135" s="284">
        <v>0</v>
      </c>
      <c r="Z135" s="284">
        <v>0</v>
      </c>
      <c r="AA135" s="284">
        <v>0</v>
      </c>
      <c r="AB135" s="284">
        <v>0</v>
      </c>
      <c r="AC135" s="284">
        <v>0</v>
      </c>
      <c r="AD135" s="284">
        <v>0</v>
      </c>
      <c r="AE135" s="284">
        <v>0</v>
      </c>
      <c r="AF135" s="284">
        <v>0</v>
      </c>
      <c r="AG135" s="284">
        <v>0</v>
      </c>
      <c r="AH135" s="284">
        <v>0</v>
      </c>
      <c r="AI135" s="284">
        <v>0</v>
      </c>
      <c r="AJ135" s="284">
        <v>0</v>
      </c>
      <c r="AK135" s="284">
        <v>0</v>
      </c>
      <c r="AL135" s="284">
        <v>0</v>
      </c>
      <c r="AM135" s="284">
        <v>0</v>
      </c>
      <c r="AN135" s="284">
        <v>0</v>
      </c>
      <c r="AO135" s="284">
        <v>0</v>
      </c>
      <c r="AP135" s="284">
        <v>0</v>
      </c>
      <c r="AQ135" s="284">
        <v>0</v>
      </c>
      <c r="AR135" s="284">
        <v>0</v>
      </c>
      <c r="AS135" s="284">
        <v>0</v>
      </c>
      <c r="AT135" s="284">
        <v>0</v>
      </c>
      <c r="AU135" s="284">
        <v>0</v>
      </c>
      <c r="AV135" s="284">
        <v>0</v>
      </c>
      <c r="AW135" s="284">
        <v>0</v>
      </c>
      <c r="AX135" s="284">
        <v>0</v>
      </c>
      <c r="AY135" s="284">
        <v>0</v>
      </c>
      <c r="AZ135" s="284">
        <v>0</v>
      </c>
      <c r="BA135" s="284">
        <v>0</v>
      </c>
      <c r="BB135" s="284">
        <v>0</v>
      </c>
      <c r="BC135" s="284">
        <v>0</v>
      </c>
      <c r="BD135" s="284">
        <v>0</v>
      </c>
      <c r="BE135" s="284">
        <v>0</v>
      </c>
      <c r="BF135" s="284">
        <v>0</v>
      </c>
      <c r="BG135" s="284">
        <v>0</v>
      </c>
      <c r="BH135" s="284">
        <v>1198.1099999999999</v>
      </c>
    </row>
    <row r="136" spans="1:60">
      <c r="A136" s="187" t="s">
        <v>259</v>
      </c>
      <c r="B136" s="284">
        <v>0</v>
      </c>
      <c r="C136" s="284">
        <v>0</v>
      </c>
      <c r="D136" s="284">
        <v>0</v>
      </c>
      <c r="E136" s="284">
        <v>0</v>
      </c>
      <c r="F136" s="284">
        <v>0</v>
      </c>
      <c r="G136" s="284">
        <v>0</v>
      </c>
      <c r="H136" s="284">
        <v>0</v>
      </c>
      <c r="I136" s="284">
        <v>0</v>
      </c>
      <c r="J136" s="284">
        <v>0</v>
      </c>
      <c r="K136" s="284">
        <v>0</v>
      </c>
      <c r="L136" s="284">
        <v>0</v>
      </c>
      <c r="M136" s="284">
        <v>0</v>
      </c>
      <c r="N136" s="284">
        <v>0</v>
      </c>
      <c r="O136" s="284">
        <v>0</v>
      </c>
      <c r="P136" s="284">
        <v>0</v>
      </c>
      <c r="Q136" s="284">
        <v>0</v>
      </c>
      <c r="R136" s="284">
        <v>0</v>
      </c>
      <c r="S136" s="284">
        <v>0</v>
      </c>
      <c r="T136" s="284">
        <v>0</v>
      </c>
      <c r="U136" s="284">
        <v>0</v>
      </c>
      <c r="V136" s="284">
        <v>0</v>
      </c>
      <c r="W136" s="284">
        <v>0</v>
      </c>
      <c r="X136" s="284">
        <v>0</v>
      </c>
      <c r="Y136" s="284">
        <v>0</v>
      </c>
      <c r="Z136" s="284">
        <v>0</v>
      </c>
      <c r="AA136" s="284">
        <v>0</v>
      </c>
      <c r="AB136" s="284">
        <v>0</v>
      </c>
      <c r="AC136" s="284">
        <v>0</v>
      </c>
      <c r="AD136" s="284">
        <v>0</v>
      </c>
      <c r="AE136" s="284">
        <v>0</v>
      </c>
      <c r="AF136" s="284">
        <v>0</v>
      </c>
      <c r="AG136" s="284">
        <v>0</v>
      </c>
      <c r="AH136" s="284">
        <v>0</v>
      </c>
      <c r="AI136" s="284">
        <v>0</v>
      </c>
      <c r="AJ136" s="284">
        <v>0</v>
      </c>
      <c r="AK136" s="284">
        <v>0</v>
      </c>
      <c r="AL136" s="284">
        <v>0</v>
      </c>
      <c r="AM136" s="284">
        <v>0</v>
      </c>
      <c r="AN136" s="284">
        <v>0</v>
      </c>
      <c r="AO136" s="284">
        <v>0</v>
      </c>
      <c r="AP136" s="284">
        <v>0</v>
      </c>
      <c r="AQ136" s="284">
        <v>0</v>
      </c>
      <c r="AR136" s="284">
        <v>245.85</v>
      </c>
      <c r="AS136" s="284">
        <v>0</v>
      </c>
      <c r="AT136" s="284">
        <v>0</v>
      </c>
      <c r="AU136" s="284">
        <v>0</v>
      </c>
      <c r="AV136" s="284">
        <v>0</v>
      </c>
      <c r="AW136" s="284">
        <v>0</v>
      </c>
      <c r="AX136" s="284">
        <v>0</v>
      </c>
      <c r="AY136" s="284">
        <v>0</v>
      </c>
      <c r="AZ136" s="284">
        <v>0</v>
      </c>
      <c r="BA136" s="284">
        <v>0</v>
      </c>
      <c r="BB136" s="284">
        <v>0</v>
      </c>
      <c r="BC136" s="284">
        <v>0</v>
      </c>
      <c r="BD136" s="284">
        <v>0</v>
      </c>
      <c r="BE136" s="284">
        <v>0</v>
      </c>
      <c r="BF136" s="284">
        <v>0</v>
      </c>
      <c r="BG136" s="284">
        <v>0</v>
      </c>
      <c r="BH136" s="284">
        <v>245.85</v>
      </c>
    </row>
    <row r="137" spans="1:60">
      <c r="A137" s="187" t="s">
        <v>208</v>
      </c>
      <c r="B137" s="284">
        <v>0</v>
      </c>
      <c r="C137" s="284">
        <v>0</v>
      </c>
      <c r="D137" s="284">
        <v>0</v>
      </c>
      <c r="E137" s="284">
        <v>0</v>
      </c>
      <c r="F137" s="284">
        <v>0</v>
      </c>
      <c r="G137" s="284">
        <v>0</v>
      </c>
      <c r="H137" s="284">
        <v>0</v>
      </c>
      <c r="I137" s="284">
        <v>0</v>
      </c>
      <c r="J137" s="284">
        <v>0</v>
      </c>
      <c r="K137" s="284">
        <v>0</v>
      </c>
      <c r="L137" s="284">
        <v>0</v>
      </c>
      <c r="M137" s="284">
        <v>0</v>
      </c>
      <c r="N137" s="284">
        <v>0</v>
      </c>
      <c r="O137" s="284">
        <v>0</v>
      </c>
      <c r="P137" s="284">
        <v>0</v>
      </c>
      <c r="Q137" s="284">
        <v>0</v>
      </c>
      <c r="R137" s="284">
        <v>0</v>
      </c>
      <c r="S137" s="284">
        <v>0</v>
      </c>
      <c r="T137" s="284">
        <v>0</v>
      </c>
      <c r="U137" s="284">
        <v>0</v>
      </c>
      <c r="V137" s="284">
        <v>0</v>
      </c>
      <c r="W137" s="284">
        <v>0</v>
      </c>
      <c r="X137" s="284">
        <v>0</v>
      </c>
      <c r="Y137" s="284">
        <v>0</v>
      </c>
      <c r="Z137" s="284">
        <v>0</v>
      </c>
      <c r="AA137" s="284">
        <v>0</v>
      </c>
      <c r="AB137" s="284">
        <v>0</v>
      </c>
      <c r="AC137" s="284">
        <v>716.39</v>
      </c>
      <c r="AD137" s="284">
        <v>976.06</v>
      </c>
      <c r="AE137" s="284">
        <v>0</v>
      </c>
      <c r="AF137" s="284">
        <v>0</v>
      </c>
      <c r="AG137" s="284">
        <v>0</v>
      </c>
      <c r="AH137" s="284">
        <v>0</v>
      </c>
      <c r="AI137" s="284">
        <v>0</v>
      </c>
      <c r="AJ137" s="284">
        <v>0</v>
      </c>
      <c r="AK137" s="284">
        <v>0</v>
      </c>
      <c r="AL137" s="284">
        <v>0</v>
      </c>
      <c r="AM137" s="284">
        <v>0</v>
      </c>
      <c r="AN137" s="284">
        <v>0</v>
      </c>
      <c r="AO137" s="284">
        <v>0</v>
      </c>
      <c r="AP137" s="284">
        <v>0</v>
      </c>
      <c r="AQ137" s="284">
        <v>0</v>
      </c>
      <c r="AR137" s="284">
        <v>0</v>
      </c>
      <c r="AS137" s="284">
        <v>0</v>
      </c>
      <c r="AT137" s="284">
        <v>0</v>
      </c>
      <c r="AU137" s="284">
        <v>0</v>
      </c>
      <c r="AV137" s="284">
        <v>0</v>
      </c>
      <c r="AW137" s="284">
        <v>0</v>
      </c>
      <c r="AX137" s="284">
        <v>0</v>
      </c>
      <c r="AY137" s="284">
        <v>0</v>
      </c>
      <c r="AZ137" s="284">
        <v>0</v>
      </c>
      <c r="BA137" s="284">
        <v>0</v>
      </c>
      <c r="BB137" s="284">
        <v>0</v>
      </c>
      <c r="BC137" s="284">
        <v>0</v>
      </c>
      <c r="BD137" s="284">
        <v>0</v>
      </c>
      <c r="BE137" s="284">
        <v>0</v>
      </c>
      <c r="BF137" s="284">
        <v>0</v>
      </c>
      <c r="BG137" s="284">
        <v>0</v>
      </c>
      <c r="BH137" s="284">
        <v>1692.45</v>
      </c>
    </row>
    <row r="138" spans="1:60">
      <c r="A138" s="187" t="s">
        <v>209</v>
      </c>
      <c r="B138" s="284">
        <v>0</v>
      </c>
      <c r="C138" s="284">
        <v>0</v>
      </c>
      <c r="D138" s="284">
        <v>0</v>
      </c>
      <c r="E138" s="284">
        <v>0</v>
      </c>
      <c r="F138" s="284">
        <v>0</v>
      </c>
      <c r="G138" s="284">
        <v>0</v>
      </c>
      <c r="H138" s="284">
        <v>0</v>
      </c>
      <c r="I138" s="284">
        <v>0</v>
      </c>
      <c r="J138" s="284">
        <v>0</v>
      </c>
      <c r="K138" s="284">
        <v>0</v>
      </c>
      <c r="L138" s="284">
        <v>0</v>
      </c>
      <c r="M138" s="284">
        <v>0</v>
      </c>
      <c r="N138" s="284">
        <v>0</v>
      </c>
      <c r="O138" s="284">
        <v>0</v>
      </c>
      <c r="P138" s="284">
        <v>0</v>
      </c>
      <c r="Q138" s="284">
        <v>0</v>
      </c>
      <c r="R138" s="284">
        <v>0</v>
      </c>
      <c r="S138" s="284">
        <v>0</v>
      </c>
      <c r="T138" s="284">
        <v>0</v>
      </c>
      <c r="U138" s="284">
        <v>0</v>
      </c>
      <c r="V138" s="284">
        <v>0</v>
      </c>
      <c r="W138" s="284">
        <v>0</v>
      </c>
      <c r="X138" s="284">
        <v>0</v>
      </c>
      <c r="Y138" s="284">
        <v>0</v>
      </c>
      <c r="Z138" s="284">
        <v>0</v>
      </c>
      <c r="AA138" s="284">
        <v>0</v>
      </c>
      <c r="AB138" s="284">
        <v>0</v>
      </c>
      <c r="AC138" s="284">
        <v>35794.65</v>
      </c>
      <c r="AD138" s="284">
        <v>22774.799999999999</v>
      </c>
      <c r="AE138" s="284">
        <v>0</v>
      </c>
      <c r="AF138" s="284">
        <v>0</v>
      </c>
      <c r="AG138" s="284">
        <v>0</v>
      </c>
      <c r="AH138" s="284">
        <v>0</v>
      </c>
      <c r="AI138" s="284">
        <v>0</v>
      </c>
      <c r="AJ138" s="284">
        <v>0</v>
      </c>
      <c r="AK138" s="284">
        <v>0</v>
      </c>
      <c r="AL138" s="284">
        <v>0</v>
      </c>
      <c r="AM138" s="284">
        <v>0</v>
      </c>
      <c r="AN138" s="284">
        <v>0</v>
      </c>
      <c r="AO138" s="284">
        <v>0</v>
      </c>
      <c r="AP138" s="284">
        <v>0</v>
      </c>
      <c r="AQ138" s="284">
        <v>0</v>
      </c>
      <c r="AR138" s="284">
        <v>0</v>
      </c>
      <c r="AS138" s="284">
        <v>0</v>
      </c>
      <c r="AT138" s="284">
        <v>0</v>
      </c>
      <c r="AU138" s="284">
        <v>0</v>
      </c>
      <c r="AV138" s="284">
        <v>0</v>
      </c>
      <c r="AW138" s="284">
        <v>0</v>
      </c>
      <c r="AX138" s="284">
        <v>0</v>
      </c>
      <c r="AY138" s="284">
        <v>0</v>
      </c>
      <c r="AZ138" s="284">
        <v>0</v>
      </c>
      <c r="BA138" s="284">
        <v>0</v>
      </c>
      <c r="BB138" s="284">
        <v>0</v>
      </c>
      <c r="BC138" s="284">
        <v>0</v>
      </c>
      <c r="BD138" s="284">
        <v>0</v>
      </c>
      <c r="BE138" s="284">
        <v>0</v>
      </c>
      <c r="BF138" s="284">
        <v>0</v>
      </c>
      <c r="BG138" s="284">
        <v>0</v>
      </c>
      <c r="BH138" s="284">
        <v>58569.45</v>
      </c>
    </row>
    <row r="139" spans="1:60">
      <c r="A139" s="192" t="s">
        <v>210</v>
      </c>
      <c r="B139" s="193">
        <v>0</v>
      </c>
      <c r="C139" s="193">
        <v>0</v>
      </c>
      <c r="D139" s="193">
        <v>0</v>
      </c>
      <c r="E139" s="193">
        <v>0</v>
      </c>
      <c r="F139" s="193">
        <v>0</v>
      </c>
      <c r="G139" s="193">
        <v>0</v>
      </c>
      <c r="H139" s="193">
        <v>0</v>
      </c>
      <c r="I139" s="193">
        <v>0</v>
      </c>
      <c r="J139" s="193">
        <v>0</v>
      </c>
      <c r="K139" s="193">
        <v>0</v>
      </c>
      <c r="L139" s="193">
        <v>0</v>
      </c>
      <c r="M139" s="193">
        <v>0</v>
      </c>
      <c r="N139" s="193">
        <v>1291.58</v>
      </c>
      <c r="O139" s="193">
        <v>0</v>
      </c>
      <c r="P139" s="193">
        <v>0</v>
      </c>
      <c r="Q139" s="193">
        <v>0</v>
      </c>
      <c r="R139" s="193">
        <v>0</v>
      </c>
      <c r="S139" s="193">
        <v>0</v>
      </c>
      <c r="T139" s="193">
        <v>0</v>
      </c>
      <c r="U139" s="193">
        <v>0</v>
      </c>
      <c r="V139" s="193">
        <v>0</v>
      </c>
      <c r="W139" s="193">
        <v>0</v>
      </c>
      <c r="X139" s="193">
        <v>0</v>
      </c>
      <c r="Y139" s="193">
        <v>0</v>
      </c>
      <c r="Z139" s="193">
        <v>0</v>
      </c>
      <c r="AA139" s="193">
        <v>0</v>
      </c>
      <c r="AB139" s="193">
        <v>0</v>
      </c>
      <c r="AC139" s="193">
        <v>36511.040000000001</v>
      </c>
      <c r="AD139" s="193">
        <v>23750.86</v>
      </c>
      <c r="AE139" s="193">
        <v>0</v>
      </c>
      <c r="AF139" s="193">
        <v>0</v>
      </c>
      <c r="AG139" s="193">
        <v>0</v>
      </c>
      <c r="AH139" s="193">
        <v>0</v>
      </c>
      <c r="AI139" s="193">
        <v>0</v>
      </c>
      <c r="AJ139" s="193">
        <v>1020</v>
      </c>
      <c r="AK139" s="193">
        <v>3968.86</v>
      </c>
      <c r="AL139" s="193">
        <v>12269.53</v>
      </c>
      <c r="AM139" s="193">
        <v>0</v>
      </c>
      <c r="AN139" s="193">
        <v>29425</v>
      </c>
      <c r="AO139" s="193">
        <v>51381</v>
      </c>
      <c r="AP139" s="193">
        <v>0</v>
      </c>
      <c r="AQ139" s="193">
        <v>0</v>
      </c>
      <c r="AR139" s="193">
        <v>59345.85</v>
      </c>
      <c r="AS139" s="193">
        <v>0</v>
      </c>
      <c r="AT139" s="193">
        <v>0</v>
      </c>
      <c r="AU139" s="193">
        <v>0</v>
      </c>
      <c r="AV139" s="193">
        <v>0</v>
      </c>
      <c r="AW139" s="193">
        <v>0</v>
      </c>
      <c r="AX139" s="193">
        <v>0</v>
      </c>
      <c r="AY139" s="193">
        <v>0</v>
      </c>
      <c r="AZ139" s="193">
        <v>0</v>
      </c>
      <c r="BA139" s="193">
        <v>0</v>
      </c>
      <c r="BB139" s="193">
        <v>0</v>
      </c>
      <c r="BC139" s="193">
        <v>0</v>
      </c>
      <c r="BD139" s="193">
        <v>0</v>
      </c>
      <c r="BE139" s="193">
        <v>0</v>
      </c>
      <c r="BF139" s="193">
        <v>0</v>
      </c>
      <c r="BG139" s="193">
        <v>0</v>
      </c>
      <c r="BH139" s="193">
        <v>365911.75</v>
      </c>
    </row>
    <row r="140" spans="1:60">
      <c r="A140" s="187" t="s">
        <v>260</v>
      </c>
      <c r="B140" s="284">
        <v>0</v>
      </c>
      <c r="C140" s="284">
        <v>0</v>
      </c>
      <c r="D140" s="284">
        <v>0</v>
      </c>
      <c r="E140" s="284">
        <v>0</v>
      </c>
      <c r="F140" s="284">
        <v>0</v>
      </c>
      <c r="G140" s="284">
        <v>0</v>
      </c>
      <c r="H140" s="284">
        <v>0</v>
      </c>
      <c r="I140" s="284">
        <v>0</v>
      </c>
      <c r="J140" s="284">
        <v>0</v>
      </c>
      <c r="K140" s="284">
        <v>0</v>
      </c>
      <c r="L140" s="284">
        <v>0</v>
      </c>
      <c r="M140" s="284">
        <v>0</v>
      </c>
      <c r="N140" s="284">
        <v>0</v>
      </c>
      <c r="O140" s="284">
        <v>0</v>
      </c>
      <c r="P140" s="284">
        <v>0</v>
      </c>
      <c r="Q140" s="284">
        <v>0</v>
      </c>
      <c r="R140" s="284">
        <v>0</v>
      </c>
      <c r="S140" s="284">
        <v>0</v>
      </c>
      <c r="T140" s="284">
        <v>0</v>
      </c>
      <c r="U140" s="284">
        <v>0</v>
      </c>
      <c r="V140" s="284">
        <v>0</v>
      </c>
      <c r="W140" s="284">
        <v>0</v>
      </c>
      <c r="X140" s="284">
        <v>0</v>
      </c>
      <c r="Y140" s="284">
        <v>0</v>
      </c>
      <c r="Z140" s="284">
        <v>0</v>
      </c>
      <c r="AA140" s="284">
        <v>0</v>
      </c>
      <c r="AB140" s="284">
        <v>0</v>
      </c>
      <c r="AC140" s="284">
        <v>0</v>
      </c>
      <c r="AD140" s="284">
        <v>0</v>
      </c>
      <c r="AE140" s="284">
        <v>0</v>
      </c>
      <c r="AF140" s="284">
        <v>0</v>
      </c>
      <c r="AG140" s="284">
        <v>0</v>
      </c>
      <c r="AH140" s="284">
        <v>0</v>
      </c>
      <c r="AI140" s="284">
        <v>0</v>
      </c>
      <c r="AJ140" s="284">
        <v>0</v>
      </c>
      <c r="AK140" s="284">
        <v>0</v>
      </c>
      <c r="AL140" s="284">
        <v>0</v>
      </c>
      <c r="AM140" s="284">
        <v>0</v>
      </c>
      <c r="AN140" s="284">
        <v>0</v>
      </c>
      <c r="AO140" s="284">
        <v>0</v>
      </c>
      <c r="AP140" s="284">
        <v>0</v>
      </c>
      <c r="AQ140" s="284">
        <v>2540.65</v>
      </c>
      <c r="AR140" s="284">
        <v>0</v>
      </c>
      <c r="AS140" s="284">
        <v>0</v>
      </c>
      <c r="AT140" s="284">
        <v>0</v>
      </c>
      <c r="AU140" s="284">
        <v>0</v>
      </c>
      <c r="AV140" s="284">
        <v>0</v>
      </c>
      <c r="AW140" s="284">
        <v>0</v>
      </c>
      <c r="AX140" s="284">
        <v>0</v>
      </c>
      <c r="AY140" s="284">
        <v>0</v>
      </c>
      <c r="AZ140" s="284">
        <v>0</v>
      </c>
      <c r="BA140" s="284">
        <v>0</v>
      </c>
      <c r="BB140" s="284">
        <v>0</v>
      </c>
      <c r="BC140" s="284">
        <v>0</v>
      </c>
      <c r="BD140" s="284">
        <v>0</v>
      </c>
      <c r="BE140" s="284">
        <v>0</v>
      </c>
      <c r="BF140" s="284">
        <v>0</v>
      </c>
      <c r="BG140" s="284">
        <v>0</v>
      </c>
      <c r="BH140" s="284">
        <v>2540.65</v>
      </c>
    </row>
    <row r="141" spans="1:60">
      <c r="A141" s="187" t="s">
        <v>211</v>
      </c>
      <c r="B141" s="284">
        <v>0</v>
      </c>
      <c r="C141" s="284">
        <v>188.58</v>
      </c>
      <c r="D141" s="284">
        <v>0</v>
      </c>
      <c r="E141" s="284">
        <v>0</v>
      </c>
      <c r="F141" s="284">
        <v>0</v>
      </c>
      <c r="G141" s="284">
        <v>256.2</v>
      </c>
      <c r="H141" s="284">
        <v>0</v>
      </c>
      <c r="I141" s="284">
        <v>0</v>
      </c>
      <c r="J141" s="284">
        <v>0</v>
      </c>
      <c r="K141" s="284">
        <v>0</v>
      </c>
      <c r="L141" s="284">
        <v>0</v>
      </c>
      <c r="M141" s="284">
        <v>0</v>
      </c>
      <c r="N141" s="284">
        <v>25</v>
      </c>
      <c r="O141" s="284">
        <v>0</v>
      </c>
      <c r="P141" s="284">
        <v>0</v>
      </c>
      <c r="Q141" s="284">
        <v>0</v>
      </c>
      <c r="R141" s="284">
        <v>0</v>
      </c>
      <c r="S141" s="284">
        <v>0</v>
      </c>
      <c r="T141" s="284">
        <v>0</v>
      </c>
      <c r="U141" s="284">
        <v>0</v>
      </c>
      <c r="V141" s="284">
        <v>0</v>
      </c>
      <c r="W141" s="284">
        <v>0</v>
      </c>
      <c r="X141" s="284">
        <v>0</v>
      </c>
      <c r="Y141" s="284">
        <v>0</v>
      </c>
      <c r="Z141" s="284">
        <v>0</v>
      </c>
      <c r="AA141" s="284">
        <v>0</v>
      </c>
      <c r="AB141" s="284">
        <v>0</v>
      </c>
      <c r="AC141" s="284">
        <v>0</v>
      </c>
      <c r="AD141" s="284">
        <v>0</v>
      </c>
      <c r="AE141" s="284">
        <v>0</v>
      </c>
      <c r="AF141" s="284">
        <v>0</v>
      </c>
      <c r="AG141" s="284">
        <v>0</v>
      </c>
      <c r="AH141" s="284">
        <v>0</v>
      </c>
      <c r="AI141" s="284">
        <v>0</v>
      </c>
      <c r="AJ141" s="284">
        <v>0</v>
      </c>
      <c r="AK141" s="284">
        <v>0</v>
      </c>
      <c r="AL141" s="284">
        <v>0</v>
      </c>
      <c r="AM141" s="284">
        <v>0</v>
      </c>
      <c r="AN141" s="284">
        <v>0</v>
      </c>
      <c r="AO141" s="284">
        <v>0</v>
      </c>
      <c r="AP141" s="284">
        <v>0</v>
      </c>
      <c r="AQ141" s="284">
        <v>462</v>
      </c>
      <c r="AR141" s="284">
        <v>-71.84</v>
      </c>
      <c r="AS141" s="284">
        <v>0</v>
      </c>
      <c r="AT141" s="284">
        <v>0</v>
      </c>
      <c r="AU141" s="284">
        <v>0</v>
      </c>
      <c r="AV141" s="284">
        <v>0</v>
      </c>
      <c r="AW141" s="284">
        <v>0</v>
      </c>
      <c r="AX141" s="284">
        <v>0</v>
      </c>
      <c r="AY141" s="284">
        <v>0</v>
      </c>
      <c r="AZ141" s="284">
        <v>0</v>
      </c>
      <c r="BA141" s="284">
        <v>0</v>
      </c>
      <c r="BB141" s="284">
        <v>0</v>
      </c>
      <c r="BC141" s="284">
        <v>0</v>
      </c>
      <c r="BD141" s="284">
        <v>0</v>
      </c>
      <c r="BE141" s="284">
        <v>0</v>
      </c>
      <c r="BF141" s="284">
        <v>0</v>
      </c>
      <c r="BG141" s="284">
        <v>0</v>
      </c>
      <c r="BH141" s="284">
        <v>859.94</v>
      </c>
    </row>
    <row r="142" spans="1:60">
      <c r="A142" s="187" t="s">
        <v>213</v>
      </c>
      <c r="B142" s="284">
        <v>0</v>
      </c>
      <c r="C142" s="284">
        <v>0</v>
      </c>
      <c r="D142" s="284">
        <v>0</v>
      </c>
      <c r="E142" s="284">
        <v>0</v>
      </c>
      <c r="F142" s="284">
        <v>0</v>
      </c>
      <c r="G142" s="284">
        <v>0</v>
      </c>
      <c r="H142" s="284">
        <v>0</v>
      </c>
      <c r="I142" s="284">
        <v>0</v>
      </c>
      <c r="J142" s="284">
        <v>0</v>
      </c>
      <c r="K142" s="284">
        <v>0</v>
      </c>
      <c r="L142" s="284">
        <v>0</v>
      </c>
      <c r="M142" s="284">
        <v>0</v>
      </c>
      <c r="N142" s="284">
        <v>0</v>
      </c>
      <c r="O142" s="284">
        <v>0</v>
      </c>
      <c r="P142" s="284">
        <v>0</v>
      </c>
      <c r="Q142" s="284">
        <v>0</v>
      </c>
      <c r="R142" s="284">
        <v>0</v>
      </c>
      <c r="S142" s="284">
        <v>0</v>
      </c>
      <c r="T142" s="284">
        <v>0</v>
      </c>
      <c r="U142" s="284">
        <v>0</v>
      </c>
      <c r="V142" s="284">
        <v>0</v>
      </c>
      <c r="W142" s="284">
        <v>0</v>
      </c>
      <c r="X142" s="284">
        <v>0</v>
      </c>
      <c r="Y142" s="284">
        <v>0</v>
      </c>
      <c r="Z142" s="284">
        <v>0</v>
      </c>
      <c r="AA142" s="284">
        <v>0</v>
      </c>
      <c r="AB142" s="284">
        <v>0</v>
      </c>
      <c r="AC142" s="284">
        <v>0</v>
      </c>
      <c r="AD142" s="284">
        <v>0</v>
      </c>
      <c r="AE142" s="284">
        <v>0</v>
      </c>
      <c r="AF142" s="284">
        <v>0</v>
      </c>
      <c r="AG142" s="284">
        <v>0</v>
      </c>
      <c r="AH142" s="284">
        <v>0</v>
      </c>
      <c r="AI142" s="284">
        <v>0</v>
      </c>
      <c r="AJ142" s="284">
        <v>0</v>
      </c>
      <c r="AK142" s="284">
        <v>0</v>
      </c>
      <c r="AL142" s="284">
        <v>0</v>
      </c>
      <c r="AM142" s="284">
        <v>0</v>
      </c>
      <c r="AN142" s="284">
        <v>0</v>
      </c>
      <c r="AO142" s="284">
        <v>0</v>
      </c>
      <c r="AP142" s="284">
        <v>0</v>
      </c>
      <c r="AQ142" s="284">
        <v>465.9</v>
      </c>
      <c r="AR142" s="284">
        <v>0</v>
      </c>
      <c r="AS142" s="284">
        <v>0</v>
      </c>
      <c r="AT142" s="284">
        <v>0</v>
      </c>
      <c r="AU142" s="284">
        <v>0</v>
      </c>
      <c r="AV142" s="284">
        <v>0</v>
      </c>
      <c r="AW142" s="284">
        <v>0</v>
      </c>
      <c r="AX142" s="284">
        <v>0</v>
      </c>
      <c r="AY142" s="284">
        <v>0</v>
      </c>
      <c r="AZ142" s="284">
        <v>0</v>
      </c>
      <c r="BA142" s="284">
        <v>0</v>
      </c>
      <c r="BB142" s="284">
        <v>0</v>
      </c>
      <c r="BC142" s="284">
        <v>0</v>
      </c>
      <c r="BD142" s="284">
        <v>0</v>
      </c>
      <c r="BE142" s="284">
        <v>0</v>
      </c>
      <c r="BF142" s="284">
        <v>0</v>
      </c>
      <c r="BG142" s="284">
        <v>0</v>
      </c>
      <c r="BH142" s="284">
        <v>465.9</v>
      </c>
    </row>
    <row r="143" spans="1:60">
      <c r="A143" s="187" t="s">
        <v>214</v>
      </c>
      <c r="B143" s="284">
        <v>0</v>
      </c>
      <c r="C143" s="284">
        <v>0</v>
      </c>
      <c r="D143" s="284">
        <v>0</v>
      </c>
      <c r="E143" s="284">
        <v>0</v>
      </c>
      <c r="F143" s="284">
        <v>0</v>
      </c>
      <c r="G143" s="284">
        <v>0</v>
      </c>
      <c r="H143" s="284">
        <v>0</v>
      </c>
      <c r="I143" s="284">
        <v>0</v>
      </c>
      <c r="J143" s="284">
        <v>0</v>
      </c>
      <c r="K143" s="284">
        <v>0</v>
      </c>
      <c r="L143" s="284">
        <v>0</v>
      </c>
      <c r="M143" s="284">
        <v>0</v>
      </c>
      <c r="N143" s="284">
        <v>0</v>
      </c>
      <c r="O143" s="284">
        <v>0</v>
      </c>
      <c r="P143" s="284">
        <v>0</v>
      </c>
      <c r="Q143" s="284">
        <v>0</v>
      </c>
      <c r="R143" s="284">
        <v>0</v>
      </c>
      <c r="S143" s="284">
        <v>0</v>
      </c>
      <c r="T143" s="284">
        <v>0</v>
      </c>
      <c r="U143" s="284">
        <v>0</v>
      </c>
      <c r="V143" s="284">
        <v>0</v>
      </c>
      <c r="W143" s="284">
        <v>0</v>
      </c>
      <c r="X143" s="284">
        <v>0</v>
      </c>
      <c r="Y143" s="284">
        <v>0</v>
      </c>
      <c r="Z143" s="284">
        <v>0</v>
      </c>
      <c r="AA143" s="284">
        <v>0</v>
      </c>
      <c r="AB143" s="284">
        <v>0</v>
      </c>
      <c r="AC143" s="284">
        <v>0</v>
      </c>
      <c r="AD143" s="284">
        <v>0</v>
      </c>
      <c r="AE143" s="284">
        <v>0</v>
      </c>
      <c r="AF143" s="284">
        <v>0</v>
      </c>
      <c r="AG143" s="284">
        <v>0</v>
      </c>
      <c r="AH143" s="284">
        <v>0</v>
      </c>
      <c r="AI143" s="284">
        <v>0</v>
      </c>
      <c r="AJ143" s="284">
        <v>0</v>
      </c>
      <c r="AK143" s="284">
        <v>0</v>
      </c>
      <c r="AL143" s="284">
        <v>0</v>
      </c>
      <c r="AM143" s="284">
        <v>0</v>
      </c>
      <c r="AN143" s="284">
        <v>0</v>
      </c>
      <c r="AO143" s="284">
        <v>0</v>
      </c>
      <c r="AP143" s="284">
        <v>0</v>
      </c>
      <c r="AQ143" s="284">
        <v>0</v>
      </c>
      <c r="AR143" s="284">
        <v>811.51</v>
      </c>
      <c r="AS143" s="284">
        <v>0</v>
      </c>
      <c r="AT143" s="284">
        <v>0</v>
      </c>
      <c r="AU143" s="284">
        <v>0</v>
      </c>
      <c r="AV143" s="284">
        <v>0</v>
      </c>
      <c r="AW143" s="284">
        <v>0</v>
      </c>
      <c r="AX143" s="284">
        <v>0</v>
      </c>
      <c r="AY143" s="284">
        <v>0</v>
      </c>
      <c r="AZ143" s="284">
        <v>0</v>
      </c>
      <c r="BA143" s="284">
        <v>0</v>
      </c>
      <c r="BB143" s="284">
        <v>0</v>
      </c>
      <c r="BC143" s="284">
        <v>0</v>
      </c>
      <c r="BD143" s="284">
        <v>0</v>
      </c>
      <c r="BE143" s="284">
        <v>0</v>
      </c>
      <c r="BF143" s="284">
        <v>0</v>
      </c>
      <c r="BG143" s="284">
        <v>0</v>
      </c>
      <c r="BH143" s="284">
        <v>811.51</v>
      </c>
    </row>
    <row r="144" spans="1:60">
      <c r="A144" s="191" t="s">
        <v>215</v>
      </c>
      <c r="B144" s="191"/>
      <c r="C144" s="191"/>
      <c r="D144" s="191"/>
      <c r="E144" s="191"/>
      <c r="F144" s="191"/>
      <c r="G144" s="191"/>
      <c r="H144" s="191"/>
      <c r="I144" s="191"/>
      <c r="J144" s="191"/>
      <c r="K144" s="191"/>
      <c r="L144" s="191"/>
      <c r="M144" s="191"/>
      <c r="N144" s="191"/>
      <c r="O144" s="191"/>
      <c r="P144" s="191"/>
      <c r="Q144" s="191"/>
      <c r="R144" s="191"/>
      <c r="S144" s="191"/>
      <c r="T144" s="191"/>
      <c r="U144" s="191"/>
      <c r="V144" s="191"/>
      <c r="W144" s="191"/>
      <c r="X144" s="191"/>
      <c r="Y144" s="191"/>
      <c r="Z144" s="191"/>
      <c r="AA144" s="191"/>
      <c r="AB144" s="191"/>
      <c r="AC144" s="191"/>
      <c r="AD144" s="191"/>
      <c r="AE144" s="191"/>
      <c r="AF144" s="191"/>
      <c r="AG144" s="191"/>
      <c r="AH144" s="191"/>
      <c r="AI144" s="191"/>
      <c r="AJ144" s="191"/>
      <c r="AK144" s="191"/>
      <c r="AL144" s="191"/>
      <c r="AM144" s="191"/>
      <c r="AN144" s="191"/>
      <c r="AO144" s="191"/>
      <c r="AP144" s="191"/>
      <c r="AQ144" s="191"/>
      <c r="AR144" s="191"/>
      <c r="AS144" s="191"/>
      <c r="AT144" s="191"/>
      <c r="AU144" s="191"/>
      <c r="AV144" s="191"/>
      <c r="AW144" s="191"/>
      <c r="AX144" s="191"/>
      <c r="AY144" s="191"/>
      <c r="AZ144" s="191"/>
      <c r="BA144" s="191"/>
      <c r="BB144" s="191"/>
      <c r="BC144" s="191"/>
      <c r="BD144" s="191"/>
      <c r="BE144" s="191"/>
      <c r="BF144" s="191"/>
      <c r="BG144" s="191"/>
      <c r="BH144" s="191"/>
    </row>
    <row r="145" spans="1:60">
      <c r="A145" s="187" t="s">
        <v>216</v>
      </c>
      <c r="B145" s="284">
        <v>0</v>
      </c>
      <c r="C145" s="284">
        <v>0</v>
      </c>
      <c r="D145" s="284">
        <v>0</v>
      </c>
      <c r="E145" s="284">
        <v>0</v>
      </c>
      <c r="F145" s="284">
        <v>0</v>
      </c>
      <c r="G145" s="284">
        <v>0</v>
      </c>
      <c r="H145" s="284">
        <v>0</v>
      </c>
      <c r="I145" s="284">
        <v>0</v>
      </c>
      <c r="J145" s="284">
        <v>0</v>
      </c>
      <c r="K145" s="284">
        <v>0</v>
      </c>
      <c r="L145" s="284">
        <v>0</v>
      </c>
      <c r="M145" s="284">
        <v>0</v>
      </c>
      <c r="N145" s="284">
        <v>0</v>
      </c>
      <c r="O145" s="284">
        <v>0</v>
      </c>
      <c r="P145" s="284">
        <v>0</v>
      </c>
      <c r="Q145" s="284">
        <v>0</v>
      </c>
      <c r="R145" s="284">
        <v>0</v>
      </c>
      <c r="S145" s="284">
        <v>0</v>
      </c>
      <c r="T145" s="284">
        <v>0</v>
      </c>
      <c r="U145" s="284">
        <v>0</v>
      </c>
      <c r="V145" s="284">
        <v>0</v>
      </c>
      <c r="W145" s="284">
        <v>0</v>
      </c>
      <c r="X145" s="284">
        <v>0</v>
      </c>
      <c r="Y145" s="284">
        <v>0</v>
      </c>
      <c r="Z145" s="284">
        <v>0</v>
      </c>
      <c r="AA145" s="284">
        <v>0</v>
      </c>
      <c r="AB145" s="284">
        <v>0</v>
      </c>
      <c r="AC145" s="284">
        <v>0</v>
      </c>
      <c r="AD145" s="284">
        <v>0</v>
      </c>
      <c r="AE145" s="284">
        <v>0</v>
      </c>
      <c r="AF145" s="284">
        <v>0</v>
      </c>
      <c r="AG145" s="284">
        <v>0</v>
      </c>
      <c r="AH145" s="284">
        <v>0</v>
      </c>
      <c r="AI145" s="284">
        <v>0</v>
      </c>
      <c r="AJ145" s="284">
        <v>0</v>
      </c>
      <c r="AK145" s="284">
        <v>0</v>
      </c>
      <c r="AL145" s="284">
        <v>0</v>
      </c>
      <c r="AM145" s="284">
        <v>0</v>
      </c>
      <c r="AN145" s="284">
        <v>0</v>
      </c>
      <c r="AO145" s="284">
        <v>0</v>
      </c>
      <c r="AP145" s="284">
        <v>0</v>
      </c>
      <c r="AQ145" s="284">
        <v>0</v>
      </c>
      <c r="AR145" s="284">
        <v>0</v>
      </c>
      <c r="AS145" s="284">
        <v>0</v>
      </c>
      <c r="AT145" s="284">
        <v>877778.43</v>
      </c>
      <c r="AU145" s="284">
        <v>348222.87</v>
      </c>
      <c r="AV145" s="284">
        <v>1177849.3</v>
      </c>
      <c r="AW145" s="284">
        <v>11633.32</v>
      </c>
      <c r="AX145" s="284">
        <v>33122.660000000003</v>
      </c>
      <c r="AY145" s="284">
        <v>364656</v>
      </c>
      <c r="AZ145" s="284">
        <v>98163</v>
      </c>
      <c r="BA145" s="284">
        <v>350311</v>
      </c>
      <c r="BB145" s="284">
        <v>843986.28</v>
      </c>
      <c r="BC145" s="284">
        <v>213194.96</v>
      </c>
      <c r="BD145" s="284">
        <v>644447.56999999995</v>
      </c>
      <c r="BE145" s="284">
        <v>106547.55</v>
      </c>
      <c r="BF145" s="284">
        <v>217350.72</v>
      </c>
      <c r="BG145" s="284">
        <v>212290.73</v>
      </c>
      <c r="BH145" s="284">
        <v>5499554.3899999997</v>
      </c>
    </row>
    <row r="146" spans="1:60">
      <c r="A146" s="187" t="s">
        <v>217</v>
      </c>
      <c r="B146" s="284">
        <v>0</v>
      </c>
      <c r="C146" s="284">
        <v>0</v>
      </c>
      <c r="D146" s="284">
        <v>0</v>
      </c>
      <c r="E146" s="284">
        <v>0</v>
      </c>
      <c r="F146" s="284">
        <v>0</v>
      </c>
      <c r="G146" s="284">
        <v>0</v>
      </c>
      <c r="H146" s="284">
        <v>0</v>
      </c>
      <c r="I146" s="284">
        <v>0</v>
      </c>
      <c r="J146" s="284">
        <v>0</v>
      </c>
      <c r="K146" s="284">
        <v>0</v>
      </c>
      <c r="L146" s="284">
        <v>0</v>
      </c>
      <c r="M146" s="284">
        <v>0</v>
      </c>
      <c r="N146" s="284">
        <v>0</v>
      </c>
      <c r="O146" s="284">
        <v>0</v>
      </c>
      <c r="P146" s="284">
        <v>0</v>
      </c>
      <c r="Q146" s="284">
        <v>0</v>
      </c>
      <c r="R146" s="284">
        <v>0</v>
      </c>
      <c r="S146" s="284">
        <v>0</v>
      </c>
      <c r="T146" s="284">
        <v>0</v>
      </c>
      <c r="U146" s="284">
        <v>0</v>
      </c>
      <c r="V146" s="284">
        <v>0</v>
      </c>
      <c r="W146" s="284">
        <v>0</v>
      </c>
      <c r="X146" s="284">
        <v>0</v>
      </c>
      <c r="Y146" s="284">
        <v>0</v>
      </c>
      <c r="Z146" s="284">
        <v>0</v>
      </c>
      <c r="AA146" s="284">
        <v>0</v>
      </c>
      <c r="AB146" s="284">
        <v>0</v>
      </c>
      <c r="AC146" s="284">
        <v>0</v>
      </c>
      <c r="AD146" s="284">
        <v>0</v>
      </c>
      <c r="AE146" s="284">
        <v>0</v>
      </c>
      <c r="AF146" s="284">
        <v>0</v>
      </c>
      <c r="AG146" s="284">
        <v>0</v>
      </c>
      <c r="AH146" s="284">
        <v>0</v>
      </c>
      <c r="AI146" s="284">
        <v>0</v>
      </c>
      <c r="AJ146" s="284">
        <v>0</v>
      </c>
      <c r="AK146" s="284">
        <v>0</v>
      </c>
      <c r="AL146" s="284">
        <v>0</v>
      </c>
      <c r="AM146" s="284">
        <v>0</v>
      </c>
      <c r="AN146" s="284">
        <v>0</v>
      </c>
      <c r="AO146" s="284">
        <v>0</v>
      </c>
      <c r="AP146" s="284">
        <v>0</v>
      </c>
      <c r="AQ146" s="284">
        <v>0</v>
      </c>
      <c r="AR146" s="284">
        <v>0</v>
      </c>
      <c r="AS146" s="284">
        <v>0</v>
      </c>
      <c r="AT146" s="284">
        <v>0</v>
      </c>
      <c r="AU146" s="284">
        <v>0</v>
      </c>
      <c r="AV146" s="284">
        <v>0</v>
      </c>
      <c r="AW146" s="284">
        <v>0</v>
      </c>
      <c r="AX146" s="284">
        <v>320888.76</v>
      </c>
      <c r="AY146" s="284">
        <v>0</v>
      </c>
      <c r="AZ146" s="284">
        <v>0</v>
      </c>
      <c r="BA146" s="284">
        <v>0</v>
      </c>
      <c r="BB146" s="284">
        <v>0</v>
      </c>
      <c r="BC146" s="284">
        <v>1447201.47</v>
      </c>
      <c r="BD146" s="284">
        <v>3200460.39</v>
      </c>
      <c r="BE146" s="284">
        <v>232428.43</v>
      </c>
      <c r="BF146" s="284">
        <v>0</v>
      </c>
      <c r="BG146" s="284">
        <v>0</v>
      </c>
      <c r="BH146" s="284">
        <v>5200979.05</v>
      </c>
    </row>
    <row r="147" spans="1:60">
      <c r="A147" s="191" t="s">
        <v>218</v>
      </c>
      <c r="B147" s="191"/>
      <c r="C147" s="191"/>
      <c r="D147" s="191"/>
      <c r="E147" s="191"/>
      <c r="F147" s="191"/>
      <c r="G147" s="191"/>
      <c r="H147" s="191"/>
      <c r="I147" s="191"/>
      <c r="J147" s="191"/>
      <c r="K147" s="191"/>
      <c r="L147" s="191"/>
      <c r="M147" s="191"/>
      <c r="N147" s="191"/>
      <c r="O147" s="191"/>
      <c r="P147" s="191"/>
      <c r="Q147" s="191"/>
      <c r="R147" s="191"/>
      <c r="S147" s="191"/>
      <c r="T147" s="191"/>
      <c r="U147" s="191"/>
      <c r="V147" s="191"/>
      <c r="W147" s="191"/>
      <c r="X147" s="191"/>
      <c r="Y147" s="191"/>
      <c r="Z147" s="191"/>
      <c r="AA147" s="191"/>
      <c r="AB147" s="191"/>
      <c r="AC147" s="191"/>
      <c r="AD147" s="191"/>
      <c r="AE147" s="191"/>
      <c r="AF147" s="191"/>
      <c r="AG147" s="191"/>
      <c r="AH147" s="191"/>
      <c r="AI147" s="191"/>
      <c r="AJ147" s="191"/>
      <c r="AK147" s="191"/>
      <c r="AL147" s="191"/>
      <c r="AM147" s="191"/>
      <c r="AN147" s="191"/>
      <c r="AO147" s="191"/>
      <c r="AP147" s="191"/>
      <c r="AQ147" s="191"/>
      <c r="AR147" s="191"/>
      <c r="AS147" s="191"/>
      <c r="AT147" s="191"/>
      <c r="AU147" s="191"/>
      <c r="AV147" s="191"/>
      <c r="AW147" s="191"/>
      <c r="AX147" s="191"/>
      <c r="AY147" s="191"/>
      <c r="AZ147" s="191"/>
      <c r="BA147" s="191"/>
      <c r="BB147" s="191"/>
      <c r="BC147" s="191"/>
      <c r="BD147" s="191"/>
      <c r="BE147" s="191"/>
      <c r="BF147" s="191"/>
      <c r="BG147" s="191"/>
      <c r="BH147" s="191"/>
    </row>
    <row r="148" spans="1:60">
      <c r="A148" s="187" t="s">
        <v>219</v>
      </c>
      <c r="B148" s="284">
        <v>0</v>
      </c>
      <c r="C148" s="284">
        <v>0</v>
      </c>
      <c r="D148" s="284">
        <v>0</v>
      </c>
      <c r="E148" s="284">
        <v>0</v>
      </c>
      <c r="F148" s="284">
        <v>0</v>
      </c>
      <c r="G148" s="284">
        <v>0</v>
      </c>
      <c r="H148" s="284">
        <v>0</v>
      </c>
      <c r="I148" s="284">
        <v>0</v>
      </c>
      <c r="J148" s="284">
        <v>0</v>
      </c>
      <c r="K148" s="284">
        <v>0</v>
      </c>
      <c r="L148" s="284">
        <v>0</v>
      </c>
      <c r="M148" s="284">
        <v>0</v>
      </c>
      <c r="N148" s="284">
        <v>0</v>
      </c>
      <c r="O148" s="284">
        <v>0</v>
      </c>
      <c r="P148" s="284">
        <v>0</v>
      </c>
      <c r="Q148" s="284">
        <v>0</v>
      </c>
      <c r="R148" s="284">
        <v>0</v>
      </c>
      <c r="S148" s="284">
        <v>0</v>
      </c>
      <c r="T148" s="284">
        <v>0</v>
      </c>
      <c r="U148" s="284">
        <v>0</v>
      </c>
      <c r="V148" s="284">
        <v>0</v>
      </c>
      <c r="W148" s="284">
        <v>0</v>
      </c>
      <c r="X148" s="284">
        <v>0</v>
      </c>
      <c r="Y148" s="284">
        <v>0</v>
      </c>
      <c r="Z148" s="284">
        <v>0</v>
      </c>
      <c r="AA148" s="284">
        <v>0</v>
      </c>
      <c r="AB148" s="284">
        <v>0</v>
      </c>
      <c r="AC148" s="284">
        <v>1222396.98</v>
      </c>
      <c r="AD148" s="284">
        <v>835351.38</v>
      </c>
      <c r="AE148" s="284">
        <v>0</v>
      </c>
      <c r="AF148" s="284">
        <v>0</v>
      </c>
      <c r="AG148" s="284">
        <v>0</v>
      </c>
      <c r="AH148" s="284">
        <v>0</v>
      </c>
      <c r="AI148" s="284">
        <v>0</v>
      </c>
      <c r="AJ148" s="284">
        <v>0</v>
      </c>
      <c r="AK148" s="284">
        <v>0</v>
      </c>
      <c r="AL148" s="284">
        <v>0</v>
      </c>
      <c r="AM148" s="284">
        <v>0</v>
      </c>
      <c r="AN148" s="284">
        <v>0</v>
      </c>
      <c r="AO148" s="284">
        <v>0</v>
      </c>
      <c r="AP148" s="284">
        <v>0</v>
      </c>
      <c r="AQ148" s="284">
        <v>0</v>
      </c>
      <c r="AR148" s="284">
        <v>0</v>
      </c>
      <c r="AS148" s="284">
        <v>0</v>
      </c>
      <c r="AT148" s="284">
        <v>0</v>
      </c>
      <c r="AU148" s="284">
        <v>0</v>
      </c>
      <c r="AV148" s="284">
        <v>0</v>
      </c>
      <c r="AW148" s="284">
        <v>0</v>
      </c>
      <c r="AX148" s="284">
        <v>0</v>
      </c>
      <c r="AY148" s="284">
        <v>0</v>
      </c>
      <c r="AZ148" s="284">
        <v>0</v>
      </c>
      <c r="BA148" s="284">
        <v>0</v>
      </c>
      <c r="BB148" s="284">
        <v>0</v>
      </c>
      <c r="BC148" s="284">
        <v>0</v>
      </c>
      <c r="BD148" s="284">
        <v>0</v>
      </c>
      <c r="BE148" s="284">
        <v>0</v>
      </c>
      <c r="BF148" s="284">
        <v>0</v>
      </c>
      <c r="BG148" s="284">
        <v>0</v>
      </c>
      <c r="BH148" s="284">
        <v>2057748.36</v>
      </c>
    </row>
    <row r="149" spans="1:60">
      <c r="A149" s="192" t="s">
        <v>220</v>
      </c>
      <c r="B149" s="193">
        <v>0</v>
      </c>
      <c r="C149" s="193">
        <v>0</v>
      </c>
      <c r="D149" s="193">
        <v>0</v>
      </c>
      <c r="E149" s="193">
        <v>0</v>
      </c>
      <c r="F149" s="193">
        <v>0</v>
      </c>
      <c r="G149" s="193">
        <v>0</v>
      </c>
      <c r="H149" s="193">
        <v>0</v>
      </c>
      <c r="I149" s="193">
        <v>0</v>
      </c>
      <c r="J149" s="193">
        <v>0</v>
      </c>
      <c r="K149" s="193">
        <v>0</v>
      </c>
      <c r="L149" s="193">
        <v>0</v>
      </c>
      <c r="M149" s="193">
        <v>0</v>
      </c>
      <c r="N149" s="193">
        <v>0</v>
      </c>
      <c r="O149" s="193">
        <v>0</v>
      </c>
      <c r="P149" s="193">
        <v>0</v>
      </c>
      <c r="Q149" s="193">
        <v>0</v>
      </c>
      <c r="R149" s="193">
        <v>0</v>
      </c>
      <c r="S149" s="193">
        <v>0</v>
      </c>
      <c r="T149" s="193">
        <v>0</v>
      </c>
      <c r="U149" s="193">
        <v>0</v>
      </c>
      <c r="V149" s="193">
        <v>0</v>
      </c>
      <c r="W149" s="193">
        <v>0</v>
      </c>
      <c r="X149" s="193">
        <v>0</v>
      </c>
      <c r="Y149" s="193">
        <v>0</v>
      </c>
      <c r="Z149" s="193">
        <v>0</v>
      </c>
      <c r="AA149" s="193">
        <v>0</v>
      </c>
      <c r="AB149" s="193">
        <v>0</v>
      </c>
      <c r="AC149" s="193">
        <v>1222396.98</v>
      </c>
      <c r="AD149" s="193">
        <v>835351.38</v>
      </c>
      <c r="AE149" s="193">
        <v>0</v>
      </c>
      <c r="AF149" s="193">
        <v>0</v>
      </c>
      <c r="AG149" s="193">
        <v>0</v>
      </c>
      <c r="AH149" s="193">
        <v>0</v>
      </c>
      <c r="AI149" s="193">
        <v>0</v>
      </c>
      <c r="AJ149" s="193">
        <v>0</v>
      </c>
      <c r="AK149" s="193">
        <v>0</v>
      </c>
      <c r="AL149" s="193">
        <v>0</v>
      </c>
      <c r="AM149" s="193">
        <v>0</v>
      </c>
      <c r="AN149" s="193">
        <v>0</v>
      </c>
      <c r="AO149" s="193">
        <v>0</v>
      </c>
      <c r="AP149" s="193">
        <v>0</v>
      </c>
      <c r="AQ149" s="193">
        <v>0</v>
      </c>
      <c r="AR149" s="193">
        <v>0</v>
      </c>
      <c r="AS149" s="193">
        <v>0</v>
      </c>
      <c r="AT149" s="193">
        <v>0</v>
      </c>
      <c r="AU149" s="193">
        <v>0</v>
      </c>
      <c r="AV149" s="193">
        <v>0</v>
      </c>
      <c r="AW149" s="193">
        <v>0</v>
      </c>
      <c r="AX149" s="193">
        <v>0</v>
      </c>
      <c r="AY149" s="193">
        <v>0</v>
      </c>
      <c r="AZ149" s="193">
        <v>0</v>
      </c>
      <c r="BA149" s="193">
        <v>0</v>
      </c>
      <c r="BB149" s="193">
        <v>0</v>
      </c>
      <c r="BC149" s="193">
        <v>0</v>
      </c>
      <c r="BD149" s="193">
        <v>0</v>
      </c>
      <c r="BE149" s="193">
        <v>0</v>
      </c>
      <c r="BF149" s="193">
        <v>0</v>
      </c>
      <c r="BG149" s="193">
        <v>0</v>
      </c>
      <c r="BH149" s="193">
        <v>2057748.36</v>
      </c>
    </row>
    <row r="150" spans="1:60">
      <c r="A150" s="192" t="s">
        <v>221</v>
      </c>
      <c r="B150" s="193">
        <v>0</v>
      </c>
      <c r="C150" s="193">
        <v>0</v>
      </c>
      <c r="D150" s="193">
        <v>0</v>
      </c>
      <c r="E150" s="193">
        <v>0</v>
      </c>
      <c r="F150" s="193">
        <v>0</v>
      </c>
      <c r="G150" s="193">
        <v>0</v>
      </c>
      <c r="H150" s="193">
        <v>0</v>
      </c>
      <c r="I150" s="193">
        <v>0</v>
      </c>
      <c r="J150" s="193">
        <v>0</v>
      </c>
      <c r="K150" s="193">
        <v>0</v>
      </c>
      <c r="L150" s="193">
        <v>0</v>
      </c>
      <c r="M150" s="193">
        <v>0</v>
      </c>
      <c r="N150" s="193">
        <v>0</v>
      </c>
      <c r="O150" s="193">
        <v>0</v>
      </c>
      <c r="P150" s="193">
        <v>0</v>
      </c>
      <c r="Q150" s="193">
        <v>0</v>
      </c>
      <c r="R150" s="193">
        <v>0</v>
      </c>
      <c r="S150" s="193">
        <v>0</v>
      </c>
      <c r="T150" s="193">
        <v>0</v>
      </c>
      <c r="U150" s="193">
        <v>0</v>
      </c>
      <c r="V150" s="193">
        <v>0</v>
      </c>
      <c r="W150" s="193">
        <v>0</v>
      </c>
      <c r="X150" s="193">
        <v>0</v>
      </c>
      <c r="Y150" s="193">
        <v>0</v>
      </c>
      <c r="Z150" s="193">
        <v>0</v>
      </c>
      <c r="AA150" s="193">
        <v>0</v>
      </c>
      <c r="AB150" s="193">
        <v>0</v>
      </c>
      <c r="AC150" s="193">
        <v>1222396.98</v>
      </c>
      <c r="AD150" s="193">
        <v>835351.38</v>
      </c>
      <c r="AE150" s="193">
        <v>0</v>
      </c>
      <c r="AF150" s="193">
        <v>0</v>
      </c>
      <c r="AG150" s="193">
        <v>0</v>
      </c>
      <c r="AH150" s="193">
        <v>0</v>
      </c>
      <c r="AI150" s="193">
        <v>0</v>
      </c>
      <c r="AJ150" s="193">
        <v>0</v>
      </c>
      <c r="AK150" s="193">
        <v>0</v>
      </c>
      <c r="AL150" s="193">
        <v>0</v>
      </c>
      <c r="AM150" s="193">
        <v>0</v>
      </c>
      <c r="AN150" s="193">
        <v>0</v>
      </c>
      <c r="AO150" s="193">
        <v>0</v>
      </c>
      <c r="AP150" s="193">
        <v>0</v>
      </c>
      <c r="AQ150" s="193">
        <v>0</v>
      </c>
      <c r="AR150" s="193">
        <v>0</v>
      </c>
      <c r="AS150" s="193">
        <v>0</v>
      </c>
      <c r="AT150" s="193">
        <v>877778.43</v>
      </c>
      <c r="AU150" s="193">
        <v>348222.87</v>
      </c>
      <c r="AV150" s="193">
        <v>1177849.3</v>
      </c>
      <c r="AW150" s="193">
        <v>11633.32</v>
      </c>
      <c r="AX150" s="193">
        <v>354011.42</v>
      </c>
      <c r="AY150" s="193">
        <v>364656</v>
      </c>
      <c r="AZ150" s="193">
        <v>98163</v>
      </c>
      <c r="BA150" s="193">
        <v>350311</v>
      </c>
      <c r="BB150" s="193">
        <v>843986.28</v>
      </c>
      <c r="BC150" s="193">
        <v>1660396.43</v>
      </c>
      <c r="BD150" s="193">
        <v>3844907.96</v>
      </c>
      <c r="BE150" s="193">
        <v>338975.98</v>
      </c>
      <c r="BF150" s="193">
        <v>217350.72</v>
      </c>
      <c r="BG150" s="193">
        <v>212290.73</v>
      </c>
      <c r="BH150" s="193">
        <v>12758281.800000001</v>
      </c>
    </row>
    <row r="151" spans="1:60">
      <c r="A151" s="191" t="s">
        <v>222</v>
      </c>
      <c r="B151" s="191"/>
      <c r="C151" s="191"/>
      <c r="D151" s="191"/>
      <c r="E151" s="191"/>
      <c r="F151" s="191"/>
      <c r="G151" s="191"/>
      <c r="H151" s="191"/>
      <c r="I151" s="191"/>
      <c r="J151" s="191"/>
      <c r="K151" s="191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  <c r="AA151" s="191"/>
      <c r="AB151" s="191"/>
      <c r="AC151" s="191"/>
      <c r="AD151" s="191"/>
      <c r="AE151" s="191"/>
      <c r="AF151" s="191"/>
      <c r="AG151" s="191"/>
      <c r="AH151" s="191"/>
      <c r="AI151" s="191"/>
      <c r="AJ151" s="191"/>
      <c r="AK151" s="191"/>
      <c r="AL151" s="191"/>
      <c r="AM151" s="191"/>
      <c r="AN151" s="191"/>
      <c r="AO151" s="191"/>
      <c r="AP151" s="191"/>
      <c r="AQ151" s="191"/>
      <c r="AR151" s="191"/>
      <c r="AS151" s="191"/>
      <c r="AT151" s="191"/>
      <c r="AU151" s="191"/>
      <c r="AV151" s="191"/>
      <c r="AW151" s="191"/>
      <c r="AX151" s="191"/>
      <c r="AY151" s="191"/>
      <c r="AZ151" s="191"/>
      <c r="BA151" s="191"/>
      <c r="BB151" s="191"/>
      <c r="BC151" s="191"/>
      <c r="BD151" s="191"/>
      <c r="BE151" s="191"/>
      <c r="BF151" s="191"/>
      <c r="BG151" s="191"/>
      <c r="BH151" s="191"/>
    </row>
    <row r="152" spans="1:60">
      <c r="A152" s="187" t="s">
        <v>261</v>
      </c>
      <c r="B152" s="284">
        <v>0</v>
      </c>
      <c r="C152" s="284">
        <v>0</v>
      </c>
      <c r="D152" s="284">
        <v>0</v>
      </c>
      <c r="E152" s="284">
        <v>0</v>
      </c>
      <c r="F152" s="284">
        <v>0</v>
      </c>
      <c r="G152" s="284">
        <v>0</v>
      </c>
      <c r="H152" s="284">
        <v>0</v>
      </c>
      <c r="I152" s="284">
        <v>0</v>
      </c>
      <c r="J152" s="284">
        <v>0</v>
      </c>
      <c r="K152" s="284">
        <v>0</v>
      </c>
      <c r="L152" s="284">
        <v>0</v>
      </c>
      <c r="M152" s="284">
        <v>0</v>
      </c>
      <c r="N152" s="284">
        <v>0</v>
      </c>
      <c r="O152" s="284">
        <v>0</v>
      </c>
      <c r="P152" s="284">
        <v>0</v>
      </c>
      <c r="Q152" s="284">
        <v>0</v>
      </c>
      <c r="R152" s="284">
        <v>0</v>
      </c>
      <c r="S152" s="284">
        <v>0</v>
      </c>
      <c r="T152" s="284">
        <v>0</v>
      </c>
      <c r="U152" s="284">
        <v>0</v>
      </c>
      <c r="V152" s="284">
        <v>0</v>
      </c>
      <c r="W152" s="284">
        <v>0</v>
      </c>
      <c r="X152" s="284">
        <v>0</v>
      </c>
      <c r="Y152" s="284">
        <v>0</v>
      </c>
      <c r="Z152" s="284">
        <v>0</v>
      </c>
      <c r="AA152" s="284">
        <v>0</v>
      </c>
      <c r="AB152" s="284">
        <v>0</v>
      </c>
      <c r="AC152" s="284">
        <v>0</v>
      </c>
      <c r="AD152" s="284">
        <v>0</v>
      </c>
      <c r="AE152" s="284">
        <v>0</v>
      </c>
      <c r="AF152" s="284">
        <v>0</v>
      </c>
      <c r="AG152" s="284">
        <v>0</v>
      </c>
      <c r="AH152" s="284">
        <v>0</v>
      </c>
      <c r="AI152" s="284">
        <v>0</v>
      </c>
      <c r="AJ152" s="284">
        <v>0</v>
      </c>
      <c r="AK152" s="284">
        <v>0</v>
      </c>
      <c r="AL152" s="284">
        <v>0</v>
      </c>
      <c r="AM152" s="284">
        <v>0</v>
      </c>
      <c r="AN152" s="284">
        <v>0</v>
      </c>
      <c r="AO152" s="284">
        <v>0</v>
      </c>
      <c r="AP152" s="284">
        <v>0</v>
      </c>
      <c r="AQ152" s="284">
        <v>0</v>
      </c>
      <c r="AR152" s="284">
        <v>-509.98</v>
      </c>
      <c r="AS152" s="284">
        <v>0</v>
      </c>
      <c r="AT152" s="284">
        <v>0</v>
      </c>
      <c r="AU152" s="284">
        <v>0</v>
      </c>
      <c r="AV152" s="284">
        <v>0</v>
      </c>
      <c r="AW152" s="284">
        <v>0</v>
      </c>
      <c r="AX152" s="284">
        <v>0</v>
      </c>
      <c r="AY152" s="284">
        <v>0</v>
      </c>
      <c r="AZ152" s="284">
        <v>0</v>
      </c>
      <c r="BA152" s="284">
        <v>0</v>
      </c>
      <c r="BB152" s="284">
        <v>0</v>
      </c>
      <c r="BC152" s="284">
        <v>0</v>
      </c>
      <c r="BD152" s="284">
        <v>0</v>
      </c>
      <c r="BE152" s="284">
        <v>0</v>
      </c>
      <c r="BF152" s="284">
        <v>0</v>
      </c>
      <c r="BG152" s="284">
        <v>0</v>
      </c>
      <c r="BH152" s="284">
        <v>-509.98</v>
      </c>
    </row>
    <row r="153" spans="1:60">
      <c r="A153" s="187" t="s">
        <v>223</v>
      </c>
      <c r="B153" s="284">
        <v>0</v>
      </c>
      <c r="C153" s="284">
        <v>0</v>
      </c>
      <c r="D153" s="284">
        <v>0</v>
      </c>
      <c r="E153" s="284">
        <v>0</v>
      </c>
      <c r="F153" s="284">
        <v>0</v>
      </c>
      <c r="G153" s="284">
        <v>0</v>
      </c>
      <c r="H153" s="284">
        <v>0</v>
      </c>
      <c r="I153" s="284">
        <v>0</v>
      </c>
      <c r="J153" s="284">
        <v>0</v>
      </c>
      <c r="K153" s="284">
        <v>0</v>
      </c>
      <c r="L153" s="284">
        <v>0</v>
      </c>
      <c r="M153" s="284">
        <v>0</v>
      </c>
      <c r="N153" s="284">
        <v>0</v>
      </c>
      <c r="O153" s="284">
        <v>0</v>
      </c>
      <c r="P153" s="284">
        <v>0</v>
      </c>
      <c r="Q153" s="284">
        <v>0</v>
      </c>
      <c r="R153" s="284">
        <v>0</v>
      </c>
      <c r="S153" s="284">
        <v>0</v>
      </c>
      <c r="T153" s="284">
        <v>0</v>
      </c>
      <c r="U153" s="284">
        <v>0</v>
      </c>
      <c r="V153" s="284">
        <v>0</v>
      </c>
      <c r="W153" s="284">
        <v>0</v>
      </c>
      <c r="X153" s="284">
        <v>0</v>
      </c>
      <c r="Y153" s="284">
        <v>0</v>
      </c>
      <c r="Z153" s="284">
        <v>0</v>
      </c>
      <c r="AA153" s="284">
        <v>0</v>
      </c>
      <c r="AB153" s="284">
        <v>0</v>
      </c>
      <c r="AC153" s="284">
        <v>0</v>
      </c>
      <c r="AD153" s="284">
        <v>0</v>
      </c>
      <c r="AE153" s="284">
        <v>0</v>
      </c>
      <c r="AF153" s="284">
        <v>0</v>
      </c>
      <c r="AG153" s="284">
        <v>0</v>
      </c>
      <c r="AH153" s="284">
        <v>0</v>
      </c>
      <c r="AI153" s="284">
        <v>0</v>
      </c>
      <c r="AJ153" s="284">
        <v>0</v>
      </c>
      <c r="AK153" s="284">
        <v>0</v>
      </c>
      <c r="AL153" s="284">
        <v>0</v>
      </c>
      <c r="AM153" s="284">
        <v>0</v>
      </c>
      <c r="AN153" s="284">
        <v>0</v>
      </c>
      <c r="AO153" s="284">
        <v>0</v>
      </c>
      <c r="AP153" s="284">
        <v>0</v>
      </c>
      <c r="AQ153" s="284">
        <v>0</v>
      </c>
      <c r="AR153" s="284">
        <v>0.06</v>
      </c>
      <c r="AS153" s="284">
        <v>0</v>
      </c>
      <c r="AT153" s="284">
        <v>0</v>
      </c>
      <c r="AU153" s="284">
        <v>0</v>
      </c>
      <c r="AV153" s="284">
        <v>0</v>
      </c>
      <c r="AW153" s="284">
        <v>0</v>
      </c>
      <c r="AX153" s="284">
        <v>0</v>
      </c>
      <c r="AY153" s="284">
        <v>0</v>
      </c>
      <c r="AZ153" s="284">
        <v>0</v>
      </c>
      <c r="BA153" s="284">
        <v>0</v>
      </c>
      <c r="BB153" s="284">
        <v>0</v>
      </c>
      <c r="BC153" s="284">
        <v>0</v>
      </c>
      <c r="BD153" s="284">
        <v>0</v>
      </c>
      <c r="BE153" s="284">
        <v>0</v>
      </c>
      <c r="BF153" s="284">
        <v>0</v>
      </c>
      <c r="BG153" s="284">
        <v>0</v>
      </c>
      <c r="BH153" s="284">
        <v>0.06</v>
      </c>
    </row>
    <row r="154" spans="1:60">
      <c r="A154" s="192" t="s">
        <v>224</v>
      </c>
      <c r="B154" s="193">
        <v>0</v>
      </c>
      <c r="C154" s="193">
        <v>0</v>
      </c>
      <c r="D154" s="193">
        <v>0</v>
      </c>
      <c r="E154" s="193">
        <v>0</v>
      </c>
      <c r="F154" s="193">
        <v>0</v>
      </c>
      <c r="G154" s="193">
        <v>0</v>
      </c>
      <c r="H154" s="193">
        <v>0</v>
      </c>
      <c r="I154" s="193">
        <v>0</v>
      </c>
      <c r="J154" s="193">
        <v>0</v>
      </c>
      <c r="K154" s="193">
        <v>0</v>
      </c>
      <c r="L154" s="193">
        <v>0</v>
      </c>
      <c r="M154" s="193">
        <v>0</v>
      </c>
      <c r="N154" s="193">
        <v>0</v>
      </c>
      <c r="O154" s="193">
        <v>0</v>
      </c>
      <c r="P154" s="193">
        <v>0</v>
      </c>
      <c r="Q154" s="193">
        <v>0</v>
      </c>
      <c r="R154" s="193">
        <v>0</v>
      </c>
      <c r="S154" s="193">
        <v>0</v>
      </c>
      <c r="T154" s="193">
        <v>0</v>
      </c>
      <c r="U154" s="193">
        <v>0</v>
      </c>
      <c r="V154" s="193">
        <v>0</v>
      </c>
      <c r="W154" s="193">
        <v>0</v>
      </c>
      <c r="X154" s="193">
        <v>0</v>
      </c>
      <c r="Y154" s="193">
        <v>0</v>
      </c>
      <c r="Z154" s="193">
        <v>0</v>
      </c>
      <c r="AA154" s="193">
        <v>0</v>
      </c>
      <c r="AB154" s="193">
        <v>0</v>
      </c>
      <c r="AC154" s="193">
        <v>0</v>
      </c>
      <c r="AD154" s="193">
        <v>0</v>
      </c>
      <c r="AE154" s="193">
        <v>0</v>
      </c>
      <c r="AF154" s="193">
        <v>0</v>
      </c>
      <c r="AG154" s="193">
        <v>0</v>
      </c>
      <c r="AH154" s="193">
        <v>0</v>
      </c>
      <c r="AI154" s="193">
        <v>0</v>
      </c>
      <c r="AJ154" s="193">
        <v>0</v>
      </c>
      <c r="AK154" s="193">
        <v>0</v>
      </c>
      <c r="AL154" s="193">
        <v>0</v>
      </c>
      <c r="AM154" s="193">
        <v>0</v>
      </c>
      <c r="AN154" s="193">
        <v>0</v>
      </c>
      <c r="AO154" s="193">
        <v>0</v>
      </c>
      <c r="AP154" s="193">
        <v>0</v>
      </c>
      <c r="AQ154" s="193">
        <v>0</v>
      </c>
      <c r="AR154" s="193">
        <v>-509.92</v>
      </c>
      <c r="AS154" s="193">
        <v>0</v>
      </c>
      <c r="AT154" s="193">
        <v>0</v>
      </c>
      <c r="AU154" s="193">
        <v>0</v>
      </c>
      <c r="AV154" s="193">
        <v>0</v>
      </c>
      <c r="AW154" s="193">
        <v>0</v>
      </c>
      <c r="AX154" s="193">
        <v>0</v>
      </c>
      <c r="AY154" s="193">
        <v>0</v>
      </c>
      <c r="AZ154" s="193">
        <v>0</v>
      </c>
      <c r="BA154" s="193">
        <v>0</v>
      </c>
      <c r="BB154" s="193">
        <v>0</v>
      </c>
      <c r="BC154" s="193">
        <v>0</v>
      </c>
      <c r="BD154" s="193">
        <v>0</v>
      </c>
      <c r="BE154" s="193">
        <v>0</v>
      </c>
      <c r="BF154" s="193">
        <v>0</v>
      </c>
      <c r="BG154" s="193">
        <v>0</v>
      </c>
      <c r="BH154" s="193">
        <v>-509.92</v>
      </c>
    </row>
    <row r="155" spans="1:60">
      <c r="A155" s="187" t="s">
        <v>225</v>
      </c>
      <c r="B155" s="284">
        <v>0</v>
      </c>
      <c r="C155" s="284">
        <v>208844.1</v>
      </c>
      <c r="D155" s="284">
        <v>64526</v>
      </c>
      <c r="E155" s="284">
        <v>12502</v>
      </c>
      <c r="F155" s="284">
        <v>19358</v>
      </c>
      <c r="G155" s="284">
        <v>7259</v>
      </c>
      <c r="H155" s="284">
        <v>19514</v>
      </c>
      <c r="I155" s="284">
        <v>31423</v>
      </c>
      <c r="J155" s="284">
        <v>19886.900000000001</v>
      </c>
      <c r="K155" s="284">
        <v>0</v>
      </c>
      <c r="L155" s="284">
        <v>0</v>
      </c>
      <c r="M155" s="284">
        <v>0</v>
      </c>
      <c r="N155" s="284">
        <v>0</v>
      </c>
      <c r="O155" s="284">
        <v>0</v>
      </c>
      <c r="P155" s="284">
        <v>0</v>
      </c>
      <c r="Q155" s="284">
        <v>0</v>
      </c>
      <c r="R155" s="284">
        <v>0</v>
      </c>
      <c r="S155" s="284">
        <v>0</v>
      </c>
      <c r="T155" s="284">
        <v>0</v>
      </c>
      <c r="U155" s="284">
        <v>0</v>
      </c>
      <c r="V155" s="284">
        <v>0</v>
      </c>
      <c r="W155" s="284">
        <v>0</v>
      </c>
      <c r="X155" s="284">
        <v>0</v>
      </c>
      <c r="Y155" s="284">
        <v>4334</v>
      </c>
      <c r="Z155" s="284">
        <v>1667</v>
      </c>
      <c r="AA155" s="284">
        <v>1334</v>
      </c>
      <c r="AB155" s="284">
        <v>556</v>
      </c>
      <c r="AC155" s="284">
        <v>0</v>
      </c>
      <c r="AD155" s="284">
        <v>0</v>
      </c>
      <c r="AE155" s="284">
        <v>0</v>
      </c>
      <c r="AF155" s="284">
        <v>0</v>
      </c>
      <c r="AG155" s="284">
        <v>0</v>
      </c>
      <c r="AH155" s="284">
        <v>0</v>
      </c>
      <c r="AI155" s="284">
        <v>0</v>
      </c>
      <c r="AJ155" s="284">
        <v>0</v>
      </c>
      <c r="AK155" s="284">
        <v>0</v>
      </c>
      <c r="AL155" s="284">
        <v>0</v>
      </c>
      <c r="AM155" s="284">
        <v>943</v>
      </c>
      <c r="AN155" s="284">
        <v>30532</v>
      </c>
      <c r="AO155" s="284">
        <v>0</v>
      </c>
      <c r="AP155" s="284">
        <v>2</v>
      </c>
      <c r="AQ155" s="284">
        <v>0</v>
      </c>
      <c r="AR155" s="284">
        <v>0</v>
      </c>
      <c r="AS155" s="284">
        <v>0</v>
      </c>
      <c r="AT155" s="284">
        <v>0</v>
      </c>
      <c r="AU155" s="284">
        <v>0</v>
      </c>
      <c r="AV155" s="284">
        <v>0</v>
      </c>
      <c r="AW155" s="284">
        <v>0</v>
      </c>
      <c r="AX155" s="284">
        <v>0</v>
      </c>
      <c r="AY155" s="284">
        <v>0</v>
      </c>
      <c r="AZ155" s="284">
        <v>0</v>
      </c>
      <c r="BA155" s="284">
        <v>0</v>
      </c>
      <c r="BB155" s="284">
        <v>0</v>
      </c>
      <c r="BC155" s="284">
        <v>0</v>
      </c>
      <c r="BD155" s="284">
        <v>0</v>
      </c>
      <c r="BE155" s="284">
        <v>0</v>
      </c>
      <c r="BF155" s="284">
        <v>0</v>
      </c>
      <c r="BG155" s="284">
        <v>0</v>
      </c>
      <c r="BH155" s="284">
        <v>422681</v>
      </c>
    </row>
    <row r="156" spans="1:60">
      <c r="A156" s="192" t="s">
        <v>226</v>
      </c>
      <c r="B156" s="193">
        <v>0</v>
      </c>
      <c r="C156" s="193">
        <v>592119.23</v>
      </c>
      <c r="D156" s="193">
        <v>320009.67</v>
      </c>
      <c r="E156" s="193">
        <v>27025.03</v>
      </c>
      <c r="F156" s="193">
        <v>67120.67</v>
      </c>
      <c r="G156" s="193">
        <v>35659.019999999997</v>
      </c>
      <c r="H156" s="193">
        <v>101808.54</v>
      </c>
      <c r="I156" s="193">
        <v>159486.28</v>
      </c>
      <c r="J156" s="193">
        <v>381112.2</v>
      </c>
      <c r="K156" s="193">
        <v>156599.09</v>
      </c>
      <c r="L156" s="193">
        <v>24125.66</v>
      </c>
      <c r="M156" s="193">
        <v>72279.350000000006</v>
      </c>
      <c r="N156" s="193">
        <v>143673.64000000001</v>
      </c>
      <c r="O156" s="193">
        <v>35701.97</v>
      </c>
      <c r="P156" s="193">
        <v>9774.0300000000007</v>
      </c>
      <c r="Q156" s="193">
        <v>42904.56</v>
      </c>
      <c r="R156" s="193">
        <v>34035.519999999997</v>
      </c>
      <c r="S156" s="193">
        <v>39001</v>
      </c>
      <c r="T156" s="193">
        <v>99447.09</v>
      </c>
      <c r="U156" s="193">
        <v>33792</v>
      </c>
      <c r="V156" s="193">
        <v>65256</v>
      </c>
      <c r="W156" s="193">
        <v>53700</v>
      </c>
      <c r="X156" s="193">
        <v>191714.2</v>
      </c>
      <c r="Y156" s="193">
        <v>4334</v>
      </c>
      <c r="Z156" s="193">
        <v>1667</v>
      </c>
      <c r="AA156" s="193">
        <v>6326.54</v>
      </c>
      <c r="AB156" s="193">
        <v>2409.17</v>
      </c>
      <c r="AC156" s="193">
        <v>1440268.34</v>
      </c>
      <c r="AD156" s="193">
        <v>905067.95</v>
      </c>
      <c r="AE156" s="193">
        <v>40287.800000000003</v>
      </c>
      <c r="AF156" s="193">
        <v>10103.08</v>
      </c>
      <c r="AG156" s="193">
        <v>11804.31</v>
      </c>
      <c r="AH156" s="193">
        <v>7035.9</v>
      </c>
      <c r="AI156" s="193">
        <v>34259.410000000003</v>
      </c>
      <c r="AJ156" s="193">
        <v>20683.39</v>
      </c>
      <c r="AK156" s="193">
        <v>3972.87</v>
      </c>
      <c r="AL156" s="193">
        <v>24537.91</v>
      </c>
      <c r="AM156" s="193">
        <v>4430.59</v>
      </c>
      <c r="AN156" s="193">
        <v>83933.22</v>
      </c>
      <c r="AO156" s="193">
        <v>80122</v>
      </c>
      <c r="AP156" s="193">
        <v>95140.7</v>
      </c>
      <c r="AQ156" s="193">
        <v>33998.800000000003</v>
      </c>
      <c r="AR156" s="193">
        <v>65603.429999999993</v>
      </c>
      <c r="AS156" s="193">
        <v>12.3</v>
      </c>
      <c r="AT156" s="193">
        <v>877778.43</v>
      </c>
      <c r="AU156" s="193">
        <v>348222.87</v>
      </c>
      <c r="AV156" s="193">
        <v>1177849.3</v>
      </c>
      <c r="AW156" s="193">
        <v>11633.32</v>
      </c>
      <c r="AX156" s="193">
        <v>354011.42</v>
      </c>
      <c r="AY156" s="193">
        <v>364656</v>
      </c>
      <c r="AZ156" s="193">
        <v>98163</v>
      </c>
      <c r="BA156" s="193">
        <v>350311</v>
      </c>
      <c r="BB156" s="193">
        <v>843986.28</v>
      </c>
      <c r="BC156" s="193">
        <v>1660396.43</v>
      </c>
      <c r="BD156" s="193">
        <v>3844907.96</v>
      </c>
      <c r="BE156" s="193">
        <v>338975.98</v>
      </c>
      <c r="BF156" s="193">
        <v>217350.72</v>
      </c>
      <c r="BG156" s="193">
        <v>212290.73</v>
      </c>
      <c r="BH156" s="193">
        <v>16437236.34</v>
      </c>
    </row>
    <row r="157" spans="1:60">
      <c r="A157" s="194" t="s">
        <v>227</v>
      </c>
      <c r="B157" s="195">
        <v>0</v>
      </c>
      <c r="C157" s="195">
        <v>-9309.75</v>
      </c>
      <c r="D157" s="195">
        <v>-98377.42</v>
      </c>
      <c r="E157" s="195">
        <v>13113.19</v>
      </c>
      <c r="F157" s="195">
        <v>23169.96</v>
      </c>
      <c r="G157" s="195">
        <v>7172.14</v>
      </c>
      <c r="H157" s="195">
        <v>0</v>
      </c>
      <c r="I157" s="195">
        <v>1878.55</v>
      </c>
      <c r="J157" s="195">
        <v>-51740.95</v>
      </c>
      <c r="K157" s="195">
        <v>-10258.52</v>
      </c>
      <c r="L157" s="195">
        <v>275.75</v>
      </c>
      <c r="M157" s="195">
        <v>20124.009999999998</v>
      </c>
      <c r="N157" s="195">
        <v>29395.87</v>
      </c>
      <c r="O157" s="195">
        <v>3978.42</v>
      </c>
      <c r="P157" s="195">
        <v>1359.97</v>
      </c>
      <c r="Q157" s="195">
        <v>663.16</v>
      </c>
      <c r="R157" s="195">
        <v>0</v>
      </c>
      <c r="S157" s="195">
        <v>0</v>
      </c>
      <c r="T157" s="195">
        <v>1089.19</v>
      </c>
      <c r="U157" s="195">
        <v>0</v>
      </c>
      <c r="V157" s="195">
        <v>0</v>
      </c>
      <c r="W157" s="195">
        <v>0</v>
      </c>
      <c r="X157" s="195">
        <v>2436.67</v>
      </c>
      <c r="Y157" s="195">
        <v>0</v>
      </c>
      <c r="Z157" s="195">
        <v>0</v>
      </c>
      <c r="AA157" s="195">
        <v>-4992.54</v>
      </c>
      <c r="AB157" s="195">
        <v>-1853.17</v>
      </c>
      <c r="AC157" s="195">
        <v>75146.36</v>
      </c>
      <c r="AD157" s="195">
        <v>124815.67999999999</v>
      </c>
      <c r="AE157" s="195">
        <v>33400.839999999997</v>
      </c>
      <c r="AF157" s="195">
        <v>-10103.08</v>
      </c>
      <c r="AG157" s="195">
        <v>2055.33</v>
      </c>
      <c r="AH157" s="195">
        <v>-7035.9</v>
      </c>
      <c r="AI157" s="195">
        <v>-34259.410000000003</v>
      </c>
      <c r="AJ157" s="195">
        <v>-20683.39</v>
      </c>
      <c r="AK157" s="195">
        <v>-212.87</v>
      </c>
      <c r="AL157" s="195">
        <v>21976.89</v>
      </c>
      <c r="AM157" s="195">
        <v>-120.39</v>
      </c>
      <c r="AN157" s="195">
        <v>5114.78</v>
      </c>
      <c r="AO157" s="195">
        <v>0</v>
      </c>
      <c r="AP157" s="195">
        <v>79483.199999999997</v>
      </c>
      <c r="AQ157" s="195">
        <v>-5414.35</v>
      </c>
      <c r="AR157" s="195">
        <v>94758.09</v>
      </c>
      <c r="AS157" s="195">
        <v>-12.3</v>
      </c>
      <c r="AT157" s="195">
        <v>0</v>
      </c>
      <c r="AU157" s="195">
        <v>0</v>
      </c>
      <c r="AV157" s="195">
        <v>0</v>
      </c>
      <c r="AW157" s="195">
        <v>0</v>
      </c>
      <c r="AX157" s="195">
        <v>0</v>
      </c>
      <c r="AY157" s="195">
        <v>0</v>
      </c>
      <c r="AZ157" s="195">
        <v>0</v>
      </c>
      <c r="BA157" s="195">
        <v>0</v>
      </c>
      <c r="BB157" s="195">
        <v>0</v>
      </c>
      <c r="BC157" s="195">
        <v>0</v>
      </c>
      <c r="BD157" s="195">
        <v>0</v>
      </c>
      <c r="BE157" s="195">
        <v>0</v>
      </c>
      <c r="BF157" s="195">
        <v>0</v>
      </c>
      <c r="BG157" s="195">
        <v>0</v>
      </c>
      <c r="BH157" s="195">
        <v>238048.27</v>
      </c>
    </row>
    <row r="158" spans="1:60">
      <c r="A158" s="194" t="s">
        <v>228</v>
      </c>
      <c r="B158" s="195">
        <v>0</v>
      </c>
      <c r="C158" s="195">
        <v>-9309.75</v>
      </c>
      <c r="D158" s="195">
        <v>-98377.42</v>
      </c>
      <c r="E158" s="195">
        <v>13113.19</v>
      </c>
      <c r="F158" s="195">
        <v>23169.96</v>
      </c>
      <c r="G158" s="195">
        <v>7172.14</v>
      </c>
      <c r="H158" s="195">
        <v>0</v>
      </c>
      <c r="I158" s="195">
        <v>1878.55</v>
      </c>
      <c r="J158" s="195">
        <v>-51740.95</v>
      </c>
      <c r="K158" s="195">
        <v>-10258.52</v>
      </c>
      <c r="L158" s="195">
        <v>275.75</v>
      </c>
      <c r="M158" s="195">
        <v>20124.009999999998</v>
      </c>
      <c r="N158" s="195">
        <v>29395.87</v>
      </c>
      <c r="O158" s="195">
        <v>3978.42</v>
      </c>
      <c r="P158" s="195">
        <v>1359.97</v>
      </c>
      <c r="Q158" s="195">
        <v>663.16</v>
      </c>
      <c r="R158" s="195">
        <v>0</v>
      </c>
      <c r="S158" s="195">
        <v>0</v>
      </c>
      <c r="T158" s="195">
        <v>1089.19</v>
      </c>
      <c r="U158" s="195">
        <v>0</v>
      </c>
      <c r="V158" s="195">
        <v>0</v>
      </c>
      <c r="W158" s="195">
        <v>0</v>
      </c>
      <c r="X158" s="195">
        <v>2436.67</v>
      </c>
      <c r="Y158" s="195">
        <v>0</v>
      </c>
      <c r="Z158" s="195">
        <v>0</v>
      </c>
      <c r="AA158" s="195">
        <v>-4992.54</v>
      </c>
      <c r="AB158" s="195">
        <v>-1853.17</v>
      </c>
      <c r="AC158" s="195">
        <v>75146.36</v>
      </c>
      <c r="AD158" s="195">
        <v>124815.67999999999</v>
      </c>
      <c r="AE158" s="195">
        <v>33400.839999999997</v>
      </c>
      <c r="AF158" s="195">
        <v>-10103.08</v>
      </c>
      <c r="AG158" s="195">
        <v>2055.33</v>
      </c>
      <c r="AH158" s="195">
        <v>-7035.9</v>
      </c>
      <c r="AI158" s="195">
        <v>-34259.410000000003</v>
      </c>
      <c r="AJ158" s="195">
        <v>-20683.39</v>
      </c>
      <c r="AK158" s="195">
        <v>-212.87</v>
      </c>
      <c r="AL158" s="195">
        <v>21976.89</v>
      </c>
      <c r="AM158" s="195">
        <v>-120.39</v>
      </c>
      <c r="AN158" s="195">
        <v>5114.78</v>
      </c>
      <c r="AO158" s="195">
        <v>0</v>
      </c>
      <c r="AP158" s="195">
        <v>79483.199999999997</v>
      </c>
      <c r="AQ158" s="195">
        <v>-5414.35</v>
      </c>
      <c r="AR158" s="195">
        <v>94758.09</v>
      </c>
      <c r="AS158" s="195">
        <v>-12.3</v>
      </c>
      <c r="AT158" s="195">
        <v>0</v>
      </c>
      <c r="AU158" s="195">
        <v>0</v>
      </c>
      <c r="AV158" s="195">
        <v>0</v>
      </c>
      <c r="AW158" s="195">
        <v>0</v>
      </c>
      <c r="AX158" s="195">
        <v>0</v>
      </c>
      <c r="AY158" s="195">
        <v>0</v>
      </c>
      <c r="AZ158" s="195">
        <v>0</v>
      </c>
      <c r="BA158" s="195">
        <v>0</v>
      </c>
      <c r="BB158" s="195">
        <v>0</v>
      </c>
      <c r="BC158" s="195">
        <v>0</v>
      </c>
      <c r="BD158" s="195">
        <v>0</v>
      </c>
      <c r="BE158" s="195">
        <v>0</v>
      </c>
      <c r="BF158" s="195">
        <v>0</v>
      </c>
      <c r="BG158" s="195">
        <v>0</v>
      </c>
      <c r="BH158" s="195">
        <v>238048.27</v>
      </c>
    </row>
  </sheetData>
  <mergeCells count="6">
    <mergeCell ref="A6:BH6"/>
    <mergeCell ref="A1:BH1"/>
    <mergeCell ref="A2:BH2"/>
    <mergeCell ref="A3:BH3"/>
    <mergeCell ref="A4:BH4"/>
    <mergeCell ref="A5:BH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CD4A1-EA55-4EE2-9278-5B0E16FAE9EE}">
  <dimension ref="A1:T22"/>
  <sheetViews>
    <sheetView workbookViewId="0">
      <selection activeCell="D10" sqref="D10"/>
    </sheetView>
  </sheetViews>
  <sheetFormatPr defaultRowHeight="11.25"/>
  <cols>
    <col min="1" max="1" width="22.83203125" bestFit="1" customWidth="1"/>
    <col min="2" max="3" width="22.6640625" bestFit="1" customWidth="1"/>
    <col min="4" max="4" width="37.33203125" bestFit="1" customWidth="1"/>
    <col min="5" max="5" width="23.83203125" bestFit="1" customWidth="1"/>
    <col min="6" max="6" width="20.83203125" bestFit="1" customWidth="1"/>
    <col min="7" max="7" width="13.83203125" bestFit="1" customWidth="1"/>
    <col min="8" max="9" width="13.1640625" bestFit="1" customWidth="1"/>
    <col min="10" max="10" width="17" bestFit="1" customWidth="1"/>
    <col min="15" max="17" width="13.1640625" bestFit="1" customWidth="1"/>
  </cols>
  <sheetData>
    <row r="1" spans="1:20" ht="15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0" ht="15">
      <c r="A2" s="131"/>
      <c r="B2" s="131"/>
      <c r="C2" s="131"/>
      <c r="D2" s="131"/>
      <c r="E2" s="132"/>
      <c r="F2" s="133"/>
      <c r="G2" s="132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</row>
    <row r="3" spans="1:20" ht="15">
      <c r="A3" s="131"/>
      <c r="B3" s="131" t="s">
        <v>262</v>
      </c>
      <c r="C3" s="131"/>
      <c r="D3" s="131"/>
      <c r="E3" s="131"/>
      <c r="F3" s="131"/>
      <c r="G3" s="175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</row>
    <row r="4" spans="1:20" ht="15">
      <c r="A4" s="131"/>
      <c r="B4" s="131">
        <v>2025</v>
      </c>
      <c r="C4" s="131">
        <v>2026</v>
      </c>
      <c r="D4" s="131"/>
      <c r="E4" s="131"/>
      <c r="F4" s="131"/>
      <c r="G4" s="27" t="s">
        <v>84</v>
      </c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</row>
    <row r="5" spans="1:20" ht="15">
      <c r="A5" s="134" t="s">
        <v>263</v>
      </c>
      <c r="B5" s="132">
        <v>186720.48</v>
      </c>
      <c r="C5" s="132">
        <v>746881.92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1:20" ht="15">
      <c r="A6" s="134" t="s">
        <v>264</v>
      </c>
      <c r="B6" s="132">
        <v>166223.35999999999</v>
      </c>
      <c r="C6" s="132">
        <v>664983.43999999994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</row>
    <row r="7" spans="1:20" ht="15">
      <c r="A7" s="134" t="s">
        <v>84</v>
      </c>
      <c r="B7" s="132">
        <v>20497.12</v>
      </c>
      <c r="C7" s="132">
        <v>81898.48</v>
      </c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</row>
    <row r="8" spans="1:20" ht="15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</row>
    <row r="9" spans="1:20" ht="15">
      <c r="A9" s="135" t="s">
        <v>265</v>
      </c>
      <c r="B9" s="136" t="s">
        <v>266</v>
      </c>
      <c r="C9" s="137" t="s">
        <v>267</v>
      </c>
      <c r="D9" s="137" t="s">
        <v>268</v>
      </c>
      <c r="E9" s="136" t="s">
        <v>269</v>
      </c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</row>
    <row r="10" spans="1:20" ht="15">
      <c r="A10" s="138" t="s">
        <v>270</v>
      </c>
      <c r="B10" s="140">
        <v>746881.92</v>
      </c>
      <c r="C10" s="141" t="s">
        <v>271</v>
      </c>
      <c r="D10" s="142">
        <v>664983.43999999994</v>
      </c>
      <c r="E10" s="144">
        <v>-81898.48</v>
      </c>
      <c r="F10" s="145">
        <v>0.89029999999999998</v>
      </c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</row>
    <row r="11" spans="1:20" ht="15">
      <c r="A11" s="138" t="s">
        <v>272</v>
      </c>
      <c r="B11" s="140">
        <v>7777.08</v>
      </c>
      <c r="C11" s="141" t="s">
        <v>273</v>
      </c>
      <c r="D11" s="142">
        <v>6908.4</v>
      </c>
      <c r="E11" s="144">
        <v>-868.68</v>
      </c>
      <c r="F11" s="145">
        <v>0.88829999999999998</v>
      </c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</row>
    <row r="12" spans="1:20" ht="15">
      <c r="A12" s="138" t="s">
        <v>274</v>
      </c>
      <c r="B12" s="140">
        <v>4515.84</v>
      </c>
      <c r="C12" s="141" t="s">
        <v>273</v>
      </c>
      <c r="D12" s="142">
        <v>3050.88</v>
      </c>
      <c r="E12" s="144">
        <v>-1464.96</v>
      </c>
      <c r="F12" s="145">
        <v>0.67559999999999998</v>
      </c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</row>
    <row r="13" spans="1:20" ht="15">
      <c r="A13" s="138" t="s">
        <v>275</v>
      </c>
      <c r="B13" s="140">
        <v>17829</v>
      </c>
      <c r="C13" s="141" t="s">
        <v>276</v>
      </c>
      <c r="D13" s="142">
        <v>13011</v>
      </c>
      <c r="E13" s="144">
        <v>-4818</v>
      </c>
      <c r="F13" s="145">
        <v>0.7298</v>
      </c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</row>
    <row r="14" spans="1:20" ht="15">
      <c r="A14" s="138" t="s">
        <v>277</v>
      </c>
      <c r="B14" s="140">
        <v>11555.78</v>
      </c>
      <c r="C14" s="141" t="s">
        <v>276</v>
      </c>
      <c r="D14" s="142">
        <v>7899.95</v>
      </c>
      <c r="E14" s="144">
        <v>-3655.83</v>
      </c>
      <c r="F14" s="145">
        <v>0.68359999999999999</v>
      </c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</row>
    <row r="15" spans="1:20" ht="15">
      <c r="A15" s="138" t="s">
        <v>278</v>
      </c>
      <c r="B15" s="139" t="s">
        <v>84</v>
      </c>
      <c r="C15" s="141" t="s">
        <v>276</v>
      </c>
      <c r="D15" s="141" t="s">
        <v>84</v>
      </c>
      <c r="E15" s="143" t="s">
        <v>279</v>
      </c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</row>
    <row r="16" spans="1:20" ht="15">
      <c r="A16" s="138" t="s">
        <v>280</v>
      </c>
      <c r="B16" s="139" t="s">
        <v>84</v>
      </c>
      <c r="C16" s="141" t="s">
        <v>276</v>
      </c>
      <c r="D16" s="141" t="s">
        <v>84</v>
      </c>
      <c r="E16" s="143" t="s">
        <v>279</v>
      </c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</row>
    <row r="17" spans="1:20" ht="15">
      <c r="A17" s="138" t="s">
        <v>281</v>
      </c>
      <c r="B17" s="139" t="s">
        <v>84</v>
      </c>
      <c r="C17" s="141" t="s">
        <v>276</v>
      </c>
      <c r="D17" s="141" t="s">
        <v>84</v>
      </c>
      <c r="E17" s="143" t="s">
        <v>279</v>
      </c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</row>
    <row r="18" spans="1:20" ht="15">
      <c r="A18" s="138" t="s">
        <v>282</v>
      </c>
      <c r="B18" s="139" t="s">
        <v>84</v>
      </c>
      <c r="C18" s="141" t="s">
        <v>276</v>
      </c>
      <c r="D18" s="141" t="s">
        <v>84</v>
      </c>
      <c r="E18" s="143" t="s">
        <v>279</v>
      </c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</row>
    <row r="19" spans="1:20" ht="15">
      <c r="A19" s="138" t="s">
        <v>283</v>
      </c>
      <c r="B19" s="139" t="s">
        <v>84</v>
      </c>
      <c r="C19" s="141" t="s">
        <v>276</v>
      </c>
      <c r="D19" s="141" t="s">
        <v>84</v>
      </c>
      <c r="E19" s="143" t="s">
        <v>279</v>
      </c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</row>
    <row r="20" spans="1:20" ht="15">
      <c r="A20" s="138" t="s">
        <v>84</v>
      </c>
      <c r="B20" s="139" t="s">
        <v>84</v>
      </c>
      <c r="C20" s="141" t="s">
        <v>84</v>
      </c>
      <c r="D20" s="141" t="s">
        <v>84</v>
      </c>
      <c r="E20" s="143" t="s">
        <v>279</v>
      </c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</row>
    <row r="21" spans="1:20" ht="15">
      <c r="A21" s="138" t="s">
        <v>84</v>
      </c>
      <c r="B21" s="139" t="s">
        <v>84</v>
      </c>
      <c r="C21" s="141" t="s">
        <v>84</v>
      </c>
      <c r="D21" s="141" t="s">
        <v>84</v>
      </c>
      <c r="E21" s="143" t="s">
        <v>84</v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</row>
    <row r="22" spans="1:20" ht="15">
      <c r="A22" s="138" t="s">
        <v>84</v>
      </c>
      <c r="B22" s="140">
        <v>788559.62</v>
      </c>
      <c r="C22" s="139" t="s">
        <v>84</v>
      </c>
      <c r="D22" s="140">
        <v>695853.67</v>
      </c>
      <c r="E22" s="144">
        <v>-92705.95</v>
      </c>
      <c r="F22" s="145">
        <v>0.88239999999999996</v>
      </c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2FB03-BC52-45A4-A73B-6AD9D576F98A}">
  <dimension ref="A1:P170"/>
  <sheetViews>
    <sheetView workbookViewId="0">
      <selection activeCell="C13" sqref="C13"/>
    </sheetView>
  </sheetViews>
  <sheetFormatPr defaultRowHeight="11.25"/>
  <cols>
    <col min="1" max="1" width="53.83203125" bestFit="1" customWidth="1"/>
    <col min="2" max="2" width="17.6640625" customWidth="1"/>
    <col min="3" max="3" width="16.6640625" style="222" customWidth="1"/>
    <col min="4" max="4" width="5.83203125" customWidth="1"/>
    <col min="5" max="5" width="22.83203125" customWidth="1"/>
    <col min="6" max="6" width="20.1640625" customWidth="1"/>
    <col min="7" max="7" width="14.33203125" customWidth="1"/>
    <col min="9" max="9" width="15.33203125" style="222" bestFit="1" customWidth="1"/>
    <col min="10" max="10" width="15.1640625" style="222" customWidth="1"/>
    <col min="11" max="11" width="14" customWidth="1"/>
    <col min="12" max="12" width="16.83203125" style="224" customWidth="1"/>
    <col min="13" max="13" width="10.5" style="224" customWidth="1"/>
    <col min="14" max="14" width="14.1640625" style="224" bestFit="1" customWidth="1"/>
    <col min="15" max="15" width="13" style="224" bestFit="1" customWidth="1"/>
    <col min="16" max="16" width="14.1640625" bestFit="1" customWidth="1"/>
  </cols>
  <sheetData>
    <row r="1" spans="1:16" ht="15.75">
      <c r="A1" s="391" t="s">
        <v>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</row>
    <row r="2" spans="1:16" ht="15.75">
      <c r="A2" s="391" t="s">
        <v>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</row>
    <row r="3" spans="1:16" ht="18">
      <c r="A3" s="390" t="s">
        <v>2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</row>
    <row r="4" spans="1:16" ht="18">
      <c r="A4" s="390" t="s">
        <v>3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</row>
    <row r="5" spans="1:16" ht="18">
      <c r="A5" s="390" t="s">
        <v>4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</row>
    <row r="6" spans="1:16" ht="18">
      <c r="A6" s="390" t="s">
        <v>5</v>
      </c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0"/>
    </row>
    <row r="7" spans="1:16" ht="18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 t="s">
        <v>284</v>
      </c>
      <c r="M7" s="220"/>
      <c r="N7" s="220" t="s">
        <v>285</v>
      </c>
      <c r="O7" s="220" t="s">
        <v>286</v>
      </c>
      <c r="P7" t="s">
        <v>287</v>
      </c>
    </row>
    <row r="8" spans="1:16" ht="12.75">
      <c r="A8" s="1" t="s">
        <v>6</v>
      </c>
      <c r="B8" s="2" t="s">
        <v>85</v>
      </c>
      <c r="C8" s="221" t="s">
        <v>288</v>
      </c>
      <c r="K8" s="223" t="s">
        <v>289</v>
      </c>
      <c r="L8" s="224">
        <v>503382</v>
      </c>
      <c r="M8" s="225" t="s">
        <v>290</v>
      </c>
      <c r="N8" s="224">
        <v>4871598</v>
      </c>
      <c r="O8" s="224">
        <v>1901571</v>
      </c>
      <c r="P8" s="97">
        <v>5243314.5599999996</v>
      </c>
    </row>
    <row r="9" spans="1:16">
      <c r="A9" s="3" t="s">
        <v>86</v>
      </c>
      <c r="B9" s="4"/>
      <c r="E9" t="s">
        <v>291</v>
      </c>
      <c r="F9" t="s">
        <v>292</v>
      </c>
      <c r="G9" t="s">
        <v>293</v>
      </c>
      <c r="I9" s="222" t="s">
        <v>294</v>
      </c>
      <c r="K9" s="223" t="s">
        <v>295</v>
      </c>
      <c r="L9" s="224">
        <v>184806.75</v>
      </c>
      <c r="M9" s="225" t="s">
        <v>296</v>
      </c>
      <c r="N9" s="224">
        <v>1058486</v>
      </c>
    </row>
    <row r="10" spans="1:16">
      <c r="A10" s="5" t="s">
        <v>87</v>
      </c>
      <c r="B10" s="4"/>
      <c r="E10" t="s">
        <v>297</v>
      </c>
      <c r="F10" t="s">
        <v>298</v>
      </c>
      <c r="G10" t="s">
        <v>299</v>
      </c>
      <c r="K10" s="223" t="s">
        <v>300</v>
      </c>
      <c r="L10" s="224">
        <v>349833.99</v>
      </c>
      <c r="M10" s="225" t="s">
        <v>301</v>
      </c>
      <c r="N10" s="224">
        <f>205197.63+96682.37</f>
        <v>301880</v>
      </c>
    </row>
    <row r="11" spans="1:16">
      <c r="A11" s="6" t="s">
        <v>88</v>
      </c>
      <c r="B11" s="4"/>
      <c r="E11" s="226">
        <v>45838</v>
      </c>
      <c r="F11" t="s">
        <v>302</v>
      </c>
      <c r="G11" t="s">
        <v>303</v>
      </c>
      <c r="K11" s="223" t="s">
        <v>304</v>
      </c>
      <c r="L11" s="224">
        <v>123698.14</v>
      </c>
      <c r="M11" s="225"/>
    </row>
    <row r="12" spans="1:16">
      <c r="A12" s="7" t="s">
        <v>89</v>
      </c>
      <c r="B12" s="8">
        <v>6756277.3600000003</v>
      </c>
      <c r="C12" s="227">
        <f>L14+P14</f>
        <v>7106915.4399999995</v>
      </c>
      <c r="E12" s="85"/>
      <c r="F12" s="228">
        <f>-(C12-E12)</f>
        <v>-7106915.4399999995</v>
      </c>
      <c r="G12" s="229">
        <f>F12/C12</f>
        <v>-1</v>
      </c>
      <c r="I12" s="222">
        <v>6918393.5300000003</v>
      </c>
      <c r="K12" s="223" t="s">
        <v>301</v>
      </c>
      <c r="L12" s="224">
        <f>205197.63+96682.37</f>
        <v>301880</v>
      </c>
      <c r="M12" s="225"/>
    </row>
    <row r="13" spans="1:16">
      <c r="A13" s="7" t="s">
        <v>90</v>
      </c>
      <c r="B13" s="8">
        <v>8642506.3000000007</v>
      </c>
      <c r="C13" s="227">
        <f>N14</f>
        <v>6231964</v>
      </c>
      <c r="E13" s="85"/>
      <c r="F13" s="228">
        <f t="shared" ref="F13:F16" si="0">-(C13-E13)</f>
        <v>-6231964</v>
      </c>
      <c r="G13" s="229">
        <f t="shared" ref="G13:G16" si="1">F13/C13</f>
        <v>-1</v>
      </c>
      <c r="I13" s="222">
        <v>1835301.66</v>
      </c>
      <c r="K13" s="223" t="s">
        <v>305</v>
      </c>
      <c r="L13" s="224">
        <v>400000</v>
      </c>
      <c r="M13" s="225"/>
    </row>
    <row r="14" spans="1:16">
      <c r="A14" s="7" t="s">
        <v>91</v>
      </c>
      <c r="B14" s="8">
        <v>76143.7</v>
      </c>
      <c r="C14" s="227">
        <f>O14</f>
        <v>1901571</v>
      </c>
      <c r="E14" s="85">
        <f t="shared" ref="E14:E16" si="2">(B14/6)*12</f>
        <v>152287.4</v>
      </c>
      <c r="F14" s="228">
        <f t="shared" si="0"/>
        <v>-1749283.6</v>
      </c>
      <c r="G14" s="229">
        <f t="shared" si="1"/>
        <v>-0.91991495452970207</v>
      </c>
      <c r="I14" s="222">
        <v>63798.27</v>
      </c>
      <c r="L14" s="230">
        <f>SUM(L6:L13)</f>
        <v>1863600.88</v>
      </c>
      <c r="N14" s="230">
        <f>SUM(N6:N12)</f>
        <v>6231964</v>
      </c>
      <c r="O14" s="230">
        <f>SUM(O6:O12)</f>
        <v>1901571</v>
      </c>
      <c r="P14" s="189">
        <f>SUM(P8:P13)</f>
        <v>5243314.5599999996</v>
      </c>
    </row>
    <row r="15" spans="1:16">
      <c r="A15" s="7" t="s">
        <v>92</v>
      </c>
      <c r="B15" s="8">
        <v>465994</v>
      </c>
      <c r="C15" s="231">
        <v>950000</v>
      </c>
      <c r="E15" s="85">
        <f t="shared" si="2"/>
        <v>931988</v>
      </c>
      <c r="F15" s="228">
        <f t="shared" si="0"/>
        <v>-18012</v>
      </c>
      <c r="G15" s="229">
        <f t="shared" si="1"/>
        <v>-1.8960000000000001E-2</v>
      </c>
      <c r="I15" s="222">
        <v>846940</v>
      </c>
    </row>
    <row r="16" spans="1:16">
      <c r="A16" s="7" t="s">
        <v>93</v>
      </c>
      <c r="B16" s="8">
        <v>20491</v>
      </c>
      <c r="C16" s="231">
        <v>40000</v>
      </c>
      <c r="E16" s="85">
        <f t="shared" si="2"/>
        <v>40982</v>
      </c>
      <c r="F16" s="228">
        <f t="shared" si="0"/>
        <v>982</v>
      </c>
      <c r="G16" s="229">
        <f t="shared" si="1"/>
        <v>2.4549999999999999E-2</v>
      </c>
      <c r="I16" s="222">
        <v>37737</v>
      </c>
    </row>
    <row r="17" spans="1:10">
      <c r="A17" s="9" t="s">
        <v>94</v>
      </c>
      <c r="B17" s="10">
        <f>SUM(B12:B16)</f>
        <v>15961412.359999999</v>
      </c>
      <c r="C17" s="232">
        <f>SUM(C12:C16)</f>
        <v>16230450.439999999</v>
      </c>
      <c r="E17" s="114">
        <f>(B17/6)*12</f>
        <v>31922824.719999999</v>
      </c>
      <c r="F17" s="228">
        <f>-(C17-E17)</f>
        <v>15692374.279999999</v>
      </c>
      <c r="G17" s="229">
        <f>F17/C17</f>
        <v>0.96684773709829341</v>
      </c>
      <c r="I17" s="233">
        <f>SUM(I12:I16)</f>
        <v>9702170.459999999</v>
      </c>
    </row>
    <row r="18" spans="1:10">
      <c r="A18" s="6" t="s">
        <v>95</v>
      </c>
      <c r="B18" s="4"/>
      <c r="J18" s="233"/>
    </row>
    <row r="19" spans="1:10">
      <c r="A19" s="7" t="s">
        <v>96</v>
      </c>
      <c r="B19" s="8">
        <v>109191.86</v>
      </c>
      <c r="C19" s="234">
        <v>250000</v>
      </c>
      <c r="E19" s="85">
        <v>150000</v>
      </c>
      <c r="F19" s="228">
        <f>-(C19-E19)</f>
        <v>-100000</v>
      </c>
      <c r="G19" s="229">
        <f>F19/C19</f>
        <v>-0.4</v>
      </c>
      <c r="I19" s="222">
        <v>291159.02</v>
      </c>
    </row>
    <row r="20" spans="1:10">
      <c r="A20" s="7" t="s">
        <v>97</v>
      </c>
      <c r="B20" s="8">
        <v>6672.83</v>
      </c>
      <c r="C20" s="231">
        <v>100000</v>
      </c>
      <c r="E20" s="85">
        <f>(B20/6)*12</f>
        <v>13345.66</v>
      </c>
      <c r="F20" s="228">
        <f>-(C20-E20)</f>
        <v>-86654.34</v>
      </c>
      <c r="G20" s="229">
        <f>F20/C20</f>
        <v>-0.86654339999999996</v>
      </c>
      <c r="I20" s="222">
        <v>10000</v>
      </c>
    </row>
    <row r="21" spans="1:10">
      <c r="A21" s="7" t="s">
        <v>98</v>
      </c>
      <c r="B21" s="8">
        <v>25000</v>
      </c>
      <c r="C21" s="231">
        <v>150000</v>
      </c>
      <c r="E21" s="97">
        <v>100000</v>
      </c>
      <c r="I21" s="222">
        <v>80907</v>
      </c>
    </row>
    <row r="22" spans="1:10">
      <c r="A22" s="9" t="s">
        <v>99</v>
      </c>
      <c r="B22" s="10">
        <f>SUM(B19:B21)</f>
        <v>140864.69</v>
      </c>
      <c r="C22" s="232">
        <f>SUM(C19:C21)</f>
        <v>500000</v>
      </c>
      <c r="E22" s="114">
        <f>(B22/6)*12</f>
        <v>281729.38</v>
      </c>
      <c r="F22" s="228">
        <f>-(C22-E22)</f>
        <v>-218270.62</v>
      </c>
      <c r="G22" s="229">
        <f>F22/C22</f>
        <v>-0.43654124</v>
      </c>
      <c r="I22" s="233">
        <f>SUM(I19:I21)</f>
        <v>382066.02</v>
      </c>
    </row>
    <row r="23" spans="1:10">
      <c r="A23" s="11" t="s">
        <v>100</v>
      </c>
      <c r="B23" s="8">
        <v>422681</v>
      </c>
      <c r="C23" s="222">
        <v>440915.11</v>
      </c>
      <c r="E23" s="85">
        <v>470000</v>
      </c>
      <c r="I23" s="222">
        <v>287594.32</v>
      </c>
      <c r="J23" s="233"/>
    </row>
    <row r="24" spans="1:10">
      <c r="A24" s="6" t="s">
        <v>101</v>
      </c>
      <c r="B24" s="4"/>
    </row>
    <row r="25" spans="1:10">
      <c r="A25" s="11" t="s">
        <v>306</v>
      </c>
      <c r="B25" s="8">
        <v>0</v>
      </c>
      <c r="C25" s="231">
        <v>0</v>
      </c>
      <c r="E25" s="85">
        <f>(B25/6)*12</f>
        <v>0</v>
      </c>
      <c r="F25" s="228">
        <f>-(C25-E25)</f>
        <v>0</v>
      </c>
      <c r="G25" s="229" t="e">
        <f>F25/C25</f>
        <v>#DIV/0!</v>
      </c>
      <c r="I25" s="222">
        <v>6759.79</v>
      </c>
    </row>
    <row r="26" spans="1:10">
      <c r="A26" s="7" t="s">
        <v>103</v>
      </c>
      <c r="B26" s="8">
        <v>46745.82</v>
      </c>
      <c r="C26" s="231">
        <v>90000</v>
      </c>
      <c r="E26" s="85">
        <f>(B26/6)*12</f>
        <v>93491.64</v>
      </c>
      <c r="F26" s="228">
        <f>-(C26-E26)</f>
        <v>3491.6399999999994</v>
      </c>
      <c r="G26" s="229">
        <f>F26/C26</f>
        <v>3.879599999999999E-2</v>
      </c>
      <c r="I26" s="222">
        <v>93100.33</v>
      </c>
    </row>
    <row r="27" spans="1:10">
      <c r="A27" s="7" t="s">
        <v>104</v>
      </c>
      <c r="B27" s="8">
        <v>23775.18</v>
      </c>
      <c r="C27" s="231">
        <v>45000</v>
      </c>
      <c r="E27" s="85">
        <f>(B27/6)*12</f>
        <v>47550.36</v>
      </c>
      <c r="F27" s="228">
        <f>-(C27-E27)</f>
        <v>2550.3600000000006</v>
      </c>
      <c r="G27" s="229">
        <f>F27/C27</f>
        <v>5.6674666666666679E-2</v>
      </c>
      <c r="I27" s="222">
        <v>62267.09</v>
      </c>
    </row>
    <row r="28" spans="1:10">
      <c r="A28" s="9" t="s">
        <v>105</v>
      </c>
      <c r="B28" s="10">
        <f>SUM(B26:B27)</f>
        <v>70521</v>
      </c>
      <c r="C28" s="232">
        <f>SUM(C25:C27)</f>
        <v>135000</v>
      </c>
      <c r="E28" s="114">
        <f>(B28/5)*12</f>
        <v>169250.40000000002</v>
      </c>
      <c r="F28" s="228">
        <f>-(C28-E28)</f>
        <v>34250.400000000023</v>
      </c>
      <c r="G28" s="229">
        <f>F28/C28</f>
        <v>0.25370666666666686</v>
      </c>
      <c r="I28" s="233">
        <f>SUM(I25:I27)</f>
        <v>162127.21</v>
      </c>
    </row>
    <row r="29" spans="1:10">
      <c r="A29" s="6" t="s">
        <v>106</v>
      </c>
      <c r="B29" s="4"/>
      <c r="J29" s="233"/>
    </row>
    <row r="30" spans="1:10">
      <c r="A30" s="7" t="s">
        <v>107</v>
      </c>
      <c r="B30" s="8">
        <v>-1230.07</v>
      </c>
      <c r="C30" s="231">
        <v>-5000</v>
      </c>
      <c r="E30" s="85">
        <f>(B30/6)*12</f>
        <v>-2460.14</v>
      </c>
      <c r="F30" s="228">
        <f t="shared" ref="F30:F31" si="3">-(C30-E30)</f>
        <v>2539.86</v>
      </c>
      <c r="G30" s="229">
        <f t="shared" ref="G30:G31" si="4">F30/C30</f>
        <v>-0.50797199999999998</v>
      </c>
      <c r="I30" s="222">
        <v>-9985.2199999999993</v>
      </c>
    </row>
    <row r="31" spans="1:10">
      <c r="A31" s="7" t="s">
        <v>108</v>
      </c>
      <c r="B31" s="8">
        <v>81035.63</v>
      </c>
      <c r="C31" s="231">
        <v>150000</v>
      </c>
      <c r="E31" s="85">
        <f>(B31/6)*12</f>
        <v>162071.26</v>
      </c>
      <c r="F31" s="228">
        <f t="shared" si="3"/>
        <v>12071.260000000009</v>
      </c>
      <c r="G31" s="229">
        <f t="shared" si="4"/>
        <v>8.0475066666666734E-2</v>
      </c>
      <c r="I31" s="222">
        <v>60312.31</v>
      </c>
    </row>
    <row r="32" spans="1:10">
      <c r="A32" s="9" t="s">
        <v>109</v>
      </c>
      <c r="B32" s="10">
        <f>SUM(B30:B31)</f>
        <v>79805.56</v>
      </c>
      <c r="C32" s="232">
        <f>SUM(C30:C31)</f>
        <v>145000</v>
      </c>
      <c r="E32" s="114">
        <f>(B32/5)*12</f>
        <v>191533.34399999998</v>
      </c>
      <c r="F32" s="228">
        <f>-(C32-E32)</f>
        <v>46533.343999999983</v>
      </c>
      <c r="G32" s="229">
        <f>F32/C32</f>
        <v>0.32091961379310335</v>
      </c>
      <c r="I32" s="233">
        <f>SUM(I30:I31)</f>
        <v>50327.09</v>
      </c>
    </row>
    <row r="33" spans="1:12">
      <c r="A33" s="12" t="s">
        <v>110</v>
      </c>
      <c r="B33" s="10">
        <f>SUM(B17,B22:B23,B28,B32)</f>
        <v>16675284.609999999</v>
      </c>
      <c r="C33" s="232">
        <f>C17+C22+C23+C28+C32</f>
        <v>17451365.550000001</v>
      </c>
      <c r="E33" s="85">
        <f>E17+E22+E28+E32</f>
        <v>32565337.843999997</v>
      </c>
      <c r="I33" s="233">
        <v>10584285.1</v>
      </c>
      <c r="J33" s="233"/>
    </row>
    <row r="34" spans="1:12">
      <c r="A34" s="13" t="s">
        <v>111</v>
      </c>
      <c r="B34" s="14">
        <f>B33-0</f>
        <v>16675284.609999999</v>
      </c>
      <c r="C34" s="232">
        <f>C17+C22+C23+C28+C32</f>
        <v>17451365.550000001</v>
      </c>
      <c r="E34" s="114">
        <f>(B34/6)*12</f>
        <v>33350569.219999999</v>
      </c>
      <c r="F34" s="228">
        <f>-(C34-E34)</f>
        <v>15899203.669999998</v>
      </c>
      <c r="G34" s="229">
        <f>F34/C34</f>
        <v>0.91105785529774763</v>
      </c>
      <c r="I34" s="233">
        <v>10584285.1</v>
      </c>
      <c r="J34" s="233"/>
    </row>
    <row r="35" spans="1:12">
      <c r="A35" s="5" t="s">
        <v>112</v>
      </c>
      <c r="B35" s="4"/>
      <c r="J35" s="233"/>
    </row>
    <row r="36" spans="1:12">
      <c r="A36" s="6" t="s">
        <v>113</v>
      </c>
      <c r="B36" s="4"/>
    </row>
    <row r="37" spans="1:12">
      <c r="A37" s="7" t="s">
        <v>114</v>
      </c>
      <c r="B37" s="8">
        <v>1811538.18</v>
      </c>
      <c r="C37" s="231">
        <v>4050000</v>
      </c>
      <c r="E37" s="224">
        <v>4050000</v>
      </c>
      <c r="I37" s="222">
        <v>3339792.88</v>
      </c>
    </row>
    <row r="38" spans="1:12">
      <c r="A38" s="7" t="s">
        <v>115</v>
      </c>
      <c r="B38" s="8">
        <v>12009.86</v>
      </c>
      <c r="C38" s="231">
        <v>20000</v>
      </c>
      <c r="E38" s="224">
        <v>20000</v>
      </c>
      <c r="I38" s="222">
        <v>41649.379999999997</v>
      </c>
    </row>
    <row r="39" spans="1:12">
      <c r="A39" s="7" t="s">
        <v>116</v>
      </c>
      <c r="B39" s="8">
        <v>554</v>
      </c>
      <c r="C39" s="231">
        <f>34000+1600+5000+5000</f>
        <v>45600</v>
      </c>
      <c r="E39" s="224">
        <v>34000</v>
      </c>
      <c r="I39" s="222">
        <v>98250</v>
      </c>
    </row>
    <row r="40" spans="1:12">
      <c r="A40" s="9" t="s">
        <v>117</v>
      </c>
      <c r="B40" s="10">
        <f>SUM(B37:B39)</f>
        <v>1824102.04</v>
      </c>
      <c r="C40" s="232">
        <f>SUM(C37:C39)</f>
        <v>4115600</v>
      </c>
      <c r="E40" s="114">
        <f>SUM(E37:E39)</f>
        <v>4104000</v>
      </c>
      <c r="F40" s="228">
        <f>C40-E40</f>
        <v>11600</v>
      </c>
      <c r="G40" s="229">
        <f>F40/C40</f>
        <v>2.8185440761978814E-3</v>
      </c>
      <c r="I40" s="222">
        <f>(C37*1.03)/12*3</f>
        <v>1042875</v>
      </c>
      <c r="K40" s="235">
        <f>SUM(I37:I39)</f>
        <v>3479692.26</v>
      </c>
    </row>
    <row r="41" spans="1:12">
      <c r="A41" s="6" t="s">
        <v>118</v>
      </c>
      <c r="B41" s="4"/>
      <c r="C41" s="236"/>
      <c r="K41" s="228">
        <f>(C37)/12*9</f>
        <v>3037500</v>
      </c>
      <c r="L41" s="224">
        <f>SUM(I41:K41)</f>
        <v>3037500</v>
      </c>
    </row>
    <row r="42" spans="1:12">
      <c r="A42" s="7" t="s">
        <v>119</v>
      </c>
      <c r="B42" s="8">
        <v>133612.85999999999</v>
      </c>
      <c r="C42" s="231">
        <v>309825</v>
      </c>
      <c r="E42" s="237">
        <f>E37*0.0765</f>
        <v>309825</v>
      </c>
      <c r="I42" s="222">
        <v>256720.36</v>
      </c>
    </row>
    <row r="43" spans="1:12">
      <c r="A43" s="7" t="s">
        <v>120</v>
      </c>
      <c r="B43" s="8">
        <v>1977.74</v>
      </c>
      <c r="C43" s="231">
        <v>3200</v>
      </c>
      <c r="E43">
        <v>3000</v>
      </c>
      <c r="I43" s="222">
        <v>2301.9</v>
      </c>
    </row>
    <row r="44" spans="1:12">
      <c r="A44" s="9" t="s">
        <v>121</v>
      </c>
      <c r="B44" s="10">
        <f>SUM(B42:B43)</f>
        <v>135590.59999999998</v>
      </c>
      <c r="C44" s="232">
        <f>SUM(C42:C43)</f>
        <v>313025</v>
      </c>
      <c r="E44" s="114">
        <f>SUM(E42:E43)</f>
        <v>312825</v>
      </c>
      <c r="F44" s="228">
        <f>C44-E44</f>
        <v>200</v>
      </c>
      <c r="G44" s="229">
        <f>F44/C44</f>
        <v>6.3892660330644522E-4</v>
      </c>
      <c r="I44" s="222">
        <f>(C42*1.03)/12*3</f>
        <v>79779.9375</v>
      </c>
      <c r="K44" s="235">
        <f>SUM(I43,I42)</f>
        <v>259022.25999999998</v>
      </c>
    </row>
    <row r="45" spans="1:12">
      <c r="A45" s="6" t="s">
        <v>122</v>
      </c>
      <c r="B45" s="4"/>
      <c r="C45" s="236"/>
      <c r="K45" s="228">
        <f>(C42)/12*9</f>
        <v>232368.75</v>
      </c>
      <c r="L45" s="224">
        <f>SUM(I45:K45)</f>
        <v>232368.75</v>
      </c>
    </row>
    <row r="46" spans="1:12">
      <c r="A46" s="7" t="s">
        <v>123</v>
      </c>
      <c r="B46" s="8">
        <v>257784.21</v>
      </c>
      <c r="C46" s="231">
        <f>665000*1.05</f>
        <v>698250</v>
      </c>
      <c r="D46" s="228"/>
      <c r="E46" s="85">
        <f>(B46/6)*12</f>
        <v>515568.41999999993</v>
      </c>
      <c r="F46" s="228">
        <f>C46-E46</f>
        <v>182681.58000000007</v>
      </c>
      <c r="G46" s="229">
        <f>F46/C46</f>
        <v>0.26162775510204095</v>
      </c>
      <c r="I46" s="222">
        <v>561611.14</v>
      </c>
    </row>
    <row r="47" spans="1:12">
      <c r="A47" s="7" t="s">
        <v>124</v>
      </c>
      <c r="B47" s="8">
        <v>3252.48</v>
      </c>
      <c r="C47" s="231">
        <f>6891.68*1.05</f>
        <v>7236.264000000001</v>
      </c>
      <c r="E47" s="85">
        <f t="shared" ref="E47:E54" si="5">(B47/6)*12</f>
        <v>6504.9600000000009</v>
      </c>
      <c r="F47" s="228">
        <f t="shared" ref="F47:F54" si="6">C47-E47</f>
        <v>731.30400000000009</v>
      </c>
      <c r="G47" s="229">
        <f t="shared" ref="G47:G54" si="7">F47/C47</f>
        <v>0.10106098948297076</v>
      </c>
      <c r="I47" s="222">
        <v>6795.12</v>
      </c>
    </row>
    <row r="48" spans="1:12">
      <c r="A48" s="7" t="s">
        <v>125</v>
      </c>
      <c r="B48" s="8">
        <v>1475.5</v>
      </c>
      <c r="C48" s="231">
        <f>3043.66-1.05</f>
        <v>3042.6099999999997</v>
      </c>
      <c r="E48" s="85">
        <f t="shared" si="5"/>
        <v>2951</v>
      </c>
      <c r="F48" s="228">
        <f t="shared" si="6"/>
        <v>91.609999999999673</v>
      </c>
      <c r="G48" s="229">
        <f t="shared" si="7"/>
        <v>3.0109018244204706E-2</v>
      </c>
      <c r="I48" s="222">
        <v>3633.03</v>
      </c>
    </row>
    <row r="49" spans="1:12">
      <c r="A49" s="7" t="s">
        <v>126</v>
      </c>
      <c r="B49" s="8">
        <v>3670.51</v>
      </c>
      <c r="C49" s="231">
        <f>7883.29*1.05</f>
        <v>8277.4544999999998</v>
      </c>
      <c r="E49" s="85">
        <f t="shared" si="5"/>
        <v>7341.02</v>
      </c>
      <c r="F49" s="228">
        <f t="shared" si="6"/>
        <v>936.43449999999939</v>
      </c>
      <c r="G49" s="229">
        <f t="shared" si="7"/>
        <v>0.11313073360898564</v>
      </c>
      <c r="I49" s="222">
        <v>9374.1299999999992</v>
      </c>
    </row>
    <row r="50" spans="1:12">
      <c r="A50" s="7" t="s">
        <v>127</v>
      </c>
      <c r="B50" s="8">
        <v>145760.17000000001</v>
      </c>
      <c r="C50" s="231">
        <v>300000</v>
      </c>
      <c r="E50" s="85">
        <f t="shared" si="5"/>
        <v>291520.34000000003</v>
      </c>
      <c r="F50" s="228">
        <f t="shared" si="6"/>
        <v>8479.6599999999744</v>
      </c>
      <c r="G50" s="229">
        <f t="shared" si="7"/>
        <v>2.8265533333333249E-2</v>
      </c>
      <c r="I50" s="222">
        <v>267750.89</v>
      </c>
    </row>
    <row r="51" spans="1:12">
      <c r="A51" s="7" t="s">
        <v>128</v>
      </c>
      <c r="B51" s="8">
        <v>5103.41</v>
      </c>
      <c r="C51" s="231">
        <f>10043.16*1.05</f>
        <v>10545.318000000001</v>
      </c>
      <c r="E51" s="85">
        <f t="shared" si="5"/>
        <v>10206.82</v>
      </c>
      <c r="F51" s="228">
        <f t="shared" si="6"/>
        <v>338.49800000000141</v>
      </c>
      <c r="G51" s="229">
        <f t="shared" si="7"/>
        <v>3.2099363907281069E-2</v>
      </c>
      <c r="I51" s="222">
        <v>7494.95</v>
      </c>
    </row>
    <row r="52" spans="1:12">
      <c r="A52" s="7" t="s">
        <v>129</v>
      </c>
      <c r="B52" s="8">
        <v>5375.78</v>
      </c>
      <c r="C52" s="231">
        <f>10751*1.05</f>
        <v>11288.550000000001</v>
      </c>
      <c r="E52" s="85">
        <f t="shared" si="5"/>
        <v>10751.56</v>
      </c>
      <c r="F52" s="228">
        <f t="shared" si="6"/>
        <v>536.9900000000016</v>
      </c>
      <c r="G52" s="229">
        <f t="shared" si="7"/>
        <v>4.7569439830624977E-2</v>
      </c>
      <c r="I52" s="222">
        <v>13669.81</v>
      </c>
    </row>
    <row r="53" spans="1:12">
      <c r="A53" s="7" t="s">
        <v>130</v>
      </c>
      <c r="B53" s="8">
        <v>435.76</v>
      </c>
      <c r="C53" s="231">
        <v>1000</v>
      </c>
      <c r="E53" s="85">
        <f t="shared" si="5"/>
        <v>871.52</v>
      </c>
      <c r="F53" s="228">
        <f t="shared" si="6"/>
        <v>128.48000000000002</v>
      </c>
      <c r="G53" s="229">
        <v>0</v>
      </c>
      <c r="I53" s="222">
        <v>12261.5</v>
      </c>
    </row>
    <row r="54" spans="1:12">
      <c r="A54" s="7" t="s">
        <v>131</v>
      </c>
      <c r="B54" s="8">
        <v>11662.82</v>
      </c>
      <c r="C54" s="231">
        <v>21500</v>
      </c>
      <c r="E54" s="85">
        <f t="shared" si="5"/>
        <v>23325.64</v>
      </c>
      <c r="F54" s="228">
        <f t="shared" si="6"/>
        <v>-1825.6399999999994</v>
      </c>
      <c r="G54" s="229">
        <f t="shared" si="7"/>
        <v>-8.4913488372092991E-2</v>
      </c>
      <c r="I54" s="222">
        <v>21570.81</v>
      </c>
    </row>
    <row r="55" spans="1:12">
      <c r="A55" s="9" t="s">
        <v>132</v>
      </c>
      <c r="B55" s="10">
        <f>SUM(B46:B54)</f>
        <v>434520.64</v>
      </c>
      <c r="C55" s="232">
        <f>SUM(C46:C54)</f>
        <v>1061140.1965000001</v>
      </c>
      <c r="E55" s="114">
        <f>SUM(E46:E54)</f>
        <v>869041.28</v>
      </c>
      <c r="F55" s="228">
        <f>C55-E55</f>
        <v>192098.91650000005</v>
      </c>
      <c r="G55" s="229">
        <f>F55/C55</f>
        <v>0.18103066600775974</v>
      </c>
      <c r="I55" s="233">
        <v>904161.38</v>
      </c>
    </row>
    <row r="56" spans="1:12">
      <c r="A56" s="6" t="s">
        <v>133</v>
      </c>
      <c r="B56" s="4"/>
      <c r="C56" s="236"/>
      <c r="J56" s="233"/>
    </row>
    <row r="57" spans="1:12">
      <c r="A57" s="7" t="s">
        <v>134</v>
      </c>
      <c r="B57" s="8">
        <v>20812.939999999999</v>
      </c>
      <c r="C57" s="238">
        <f>55000+50000</f>
        <v>105000</v>
      </c>
      <c r="I57" s="222">
        <v>67055.66</v>
      </c>
    </row>
    <row r="58" spans="1:12">
      <c r="A58" s="9" t="s">
        <v>135</v>
      </c>
      <c r="B58" s="10">
        <f>SUM(B57)</f>
        <v>20812.939999999999</v>
      </c>
      <c r="C58" s="232">
        <f>SUM(C57)</f>
        <v>105000</v>
      </c>
      <c r="E58" s="85">
        <f>(B58/6)*12</f>
        <v>41625.879999999997</v>
      </c>
      <c r="F58" s="228">
        <f>C58-E58</f>
        <v>63374.12</v>
      </c>
      <c r="G58" s="229">
        <f>F58/C58</f>
        <v>0.60356304761904767</v>
      </c>
      <c r="I58" s="233">
        <v>67055.66</v>
      </c>
    </row>
    <row r="59" spans="1:12">
      <c r="A59" s="6" t="s">
        <v>136</v>
      </c>
      <c r="B59" s="4"/>
      <c r="C59" s="236"/>
      <c r="H59" t="s">
        <v>307</v>
      </c>
      <c r="I59" s="222">
        <f>5588.77+(5710.27*11)</f>
        <v>68401.740000000005</v>
      </c>
      <c r="J59" s="233"/>
    </row>
    <row r="60" spans="1:12">
      <c r="A60" s="7" t="s">
        <v>137</v>
      </c>
      <c r="B60" s="8">
        <v>208865.81</v>
      </c>
      <c r="C60" s="231">
        <v>410180.56</v>
      </c>
      <c r="H60" t="s">
        <v>308</v>
      </c>
      <c r="I60" s="222">
        <f>26666.67+(27250*11)</f>
        <v>326416.67</v>
      </c>
    </row>
    <row r="61" spans="1:12">
      <c r="A61" s="7" t="s">
        <v>309</v>
      </c>
      <c r="B61" s="8">
        <v>0</v>
      </c>
      <c r="C61" s="231">
        <v>-50576</v>
      </c>
      <c r="I61" s="222">
        <v>-150576</v>
      </c>
      <c r="K61" s="228"/>
      <c r="L61" s="224">
        <f>I59+I60</f>
        <v>394818.41</v>
      </c>
    </row>
    <row r="62" spans="1:12">
      <c r="A62" s="9" t="s">
        <v>138</v>
      </c>
      <c r="B62" s="10">
        <f>SUM(B60)</f>
        <v>208865.81</v>
      </c>
      <c r="C62" s="232">
        <f>SUM(C60:C61)</f>
        <v>359604.56</v>
      </c>
      <c r="E62" s="85">
        <f>(B62/6)*12</f>
        <v>417731.62</v>
      </c>
      <c r="F62" s="228">
        <f>C62-E62</f>
        <v>-58127.06</v>
      </c>
      <c r="G62" s="229">
        <f>F62/C62</f>
        <v>-0.16164160988392359</v>
      </c>
      <c r="I62" s="222">
        <v>388079.7</v>
      </c>
      <c r="K62" s="228"/>
    </row>
    <row r="63" spans="1:12">
      <c r="A63" s="6" t="s">
        <v>139</v>
      </c>
      <c r="B63" s="4"/>
      <c r="C63" s="236"/>
      <c r="K63" s="235">
        <f>SUM(I61,I62)</f>
        <v>237503.7</v>
      </c>
    </row>
    <row r="64" spans="1:12">
      <c r="A64" s="7" t="s">
        <v>140</v>
      </c>
      <c r="B64" s="8">
        <v>5996.21</v>
      </c>
      <c r="C64" s="231">
        <v>12000</v>
      </c>
      <c r="E64" s="85">
        <f>(B64/6)*12</f>
        <v>11992.42</v>
      </c>
    </row>
    <row r="65" spans="1:9">
      <c r="A65" s="7" t="s">
        <v>141</v>
      </c>
      <c r="B65" s="8">
        <v>353.1</v>
      </c>
      <c r="C65" s="231">
        <v>750</v>
      </c>
      <c r="E65" s="85">
        <f t="shared" ref="E65:E66" si="8">(B65/6)*12</f>
        <v>706.2</v>
      </c>
    </row>
    <row r="66" spans="1:9">
      <c r="A66" s="7" t="s">
        <v>142</v>
      </c>
      <c r="B66" s="8">
        <v>20342.939999999999</v>
      </c>
      <c r="C66" s="231">
        <v>40959.81</v>
      </c>
      <c r="E66" s="85">
        <f t="shared" si="8"/>
        <v>40685.879999999997</v>
      </c>
    </row>
    <row r="67" spans="1:9">
      <c r="A67" s="9" t="s">
        <v>143</v>
      </c>
      <c r="B67" s="10">
        <f>SUM(B64:B66)</f>
        <v>26692.25</v>
      </c>
      <c r="C67" s="232">
        <f>SUM(C64:C66)</f>
        <v>53709.81</v>
      </c>
      <c r="E67" s="85">
        <f>(B67/6)*12</f>
        <v>53384.5</v>
      </c>
      <c r="F67" s="228">
        <f>C67-E67</f>
        <v>325.30999999999767</v>
      </c>
      <c r="G67" s="229">
        <f>F67/C67</f>
        <v>6.056807871783529E-3</v>
      </c>
    </row>
    <row r="68" spans="1:9">
      <c r="A68" s="6" t="s">
        <v>144</v>
      </c>
      <c r="B68" s="4"/>
      <c r="C68" s="236"/>
    </row>
    <row r="69" spans="1:9">
      <c r="A69" s="7" t="s">
        <v>145</v>
      </c>
      <c r="B69" s="8">
        <v>90.42</v>
      </c>
      <c r="C69" s="231">
        <v>372.53</v>
      </c>
    </row>
    <row r="70" spans="1:9">
      <c r="A70" s="7" t="s">
        <v>146</v>
      </c>
      <c r="B70" s="8">
        <v>155.49</v>
      </c>
      <c r="C70" s="231">
        <v>337.68</v>
      </c>
    </row>
    <row r="71" spans="1:9">
      <c r="A71" s="9" t="s">
        <v>147</v>
      </c>
      <c r="B71" s="10">
        <f>SUM(B69:B70)</f>
        <v>245.91000000000003</v>
      </c>
      <c r="C71" s="232">
        <f>SUM(C69:C70)</f>
        <v>710.21</v>
      </c>
      <c r="E71" s="85">
        <f>(B71/6)*12</f>
        <v>491.82000000000005</v>
      </c>
      <c r="F71" s="228">
        <f>C71-E71</f>
        <v>218.39</v>
      </c>
      <c r="G71" s="229">
        <f>F71/C71</f>
        <v>0.30750059841455341</v>
      </c>
    </row>
    <row r="72" spans="1:9">
      <c r="A72" s="6" t="s">
        <v>148</v>
      </c>
      <c r="B72" s="4"/>
      <c r="C72" s="236"/>
    </row>
    <row r="73" spans="1:9">
      <c r="A73" s="7" t="s">
        <v>149</v>
      </c>
      <c r="B73" s="8">
        <v>2144.21</v>
      </c>
      <c r="C73" s="231">
        <f>(7336.64+303)*1.05+ (1000*1.03)+(2670.44*1.05)+(1121.1*1.03)+1642.26</f>
        <v>14652.576999999999</v>
      </c>
      <c r="E73" s="85">
        <f t="shared" ref="E73:E80" si="9">(B73/6)*12</f>
        <v>4288.42</v>
      </c>
      <c r="I73" s="222" t="s">
        <v>310</v>
      </c>
    </row>
    <row r="74" spans="1:9">
      <c r="A74" s="7" t="s">
        <v>150</v>
      </c>
      <c r="B74" s="8">
        <v>4119.54</v>
      </c>
      <c r="C74" s="231">
        <f>8239.11*1.05</f>
        <v>8651.0655000000006</v>
      </c>
      <c r="E74" s="85">
        <f t="shared" si="9"/>
        <v>8239.08</v>
      </c>
    </row>
    <row r="75" spans="1:9">
      <c r="A75" s="7" t="s">
        <v>252</v>
      </c>
      <c r="B75" s="8">
        <v>7273.41</v>
      </c>
      <c r="C75" s="231">
        <f>4066.26*1.05</f>
        <v>4269.5730000000003</v>
      </c>
      <c r="E75" s="85">
        <f t="shared" si="9"/>
        <v>14546.82</v>
      </c>
    </row>
    <row r="76" spans="1:9">
      <c r="A76" s="7" t="s">
        <v>253</v>
      </c>
      <c r="B76" s="8">
        <v>1172.8399999999999</v>
      </c>
      <c r="C76" s="231">
        <f>1772.84*1.05</f>
        <v>1861.482</v>
      </c>
      <c r="E76" s="85">
        <f t="shared" si="9"/>
        <v>2345.6799999999998</v>
      </c>
    </row>
    <row r="77" spans="1:9">
      <c r="A77" s="7" t="s">
        <v>254</v>
      </c>
      <c r="B77" s="8">
        <v>650.03</v>
      </c>
      <c r="C77" s="231">
        <f>1300*1.05</f>
        <v>1365</v>
      </c>
      <c r="E77" s="85">
        <f t="shared" si="9"/>
        <v>1300.06</v>
      </c>
    </row>
    <row r="78" spans="1:9">
      <c r="A78" s="7" t="s">
        <v>151</v>
      </c>
      <c r="B78" s="8">
        <v>5187.96</v>
      </c>
      <c r="C78" s="231">
        <f>10375.9*1.03</f>
        <v>10687.177</v>
      </c>
      <c r="E78" s="85">
        <f t="shared" si="9"/>
        <v>10375.92</v>
      </c>
    </row>
    <row r="79" spans="1:9">
      <c r="A79" s="7" t="s">
        <v>152</v>
      </c>
      <c r="B79" s="8">
        <v>1027.1400000000001</v>
      </c>
      <c r="C79" s="231">
        <f>2054.28*1.05</f>
        <v>2156.9940000000001</v>
      </c>
      <c r="E79" s="85">
        <f t="shared" si="9"/>
        <v>2054.2800000000002</v>
      </c>
    </row>
    <row r="80" spans="1:9">
      <c r="A80" s="7" t="s">
        <v>153</v>
      </c>
      <c r="B80" s="8">
        <v>2499</v>
      </c>
      <c r="C80" s="231">
        <f>2136.15*1.05+(4998*1.05)</f>
        <v>7490.8575000000001</v>
      </c>
      <c r="E80" s="85">
        <f t="shared" si="9"/>
        <v>4998</v>
      </c>
    </row>
    <row r="81" spans="1:7">
      <c r="A81" s="239" t="s">
        <v>311</v>
      </c>
      <c r="B81" s="240">
        <v>0</v>
      </c>
      <c r="C81" s="238">
        <v>6000</v>
      </c>
      <c r="E81" s="85"/>
    </row>
    <row r="82" spans="1:7">
      <c r="A82" s="9" t="s">
        <v>154</v>
      </c>
      <c r="B82" s="10">
        <f>SUM(B73:B80)</f>
        <v>24074.13</v>
      </c>
      <c r="C82" s="232">
        <f>SUM(C73:C81)</f>
        <v>57134.726000000002</v>
      </c>
      <c r="E82" s="85">
        <f>(B82/6)*12</f>
        <v>48148.26</v>
      </c>
      <c r="F82" s="228">
        <f>C82-E82</f>
        <v>8986.4660000000003</v>
      </c>
      <c r="G82" s="229">
        <f>F82/C82</f>
        <v>0.15728553594533734</v>
      </c>
    </row>
    <row r="83" spans="1:7">
      <c r="A83" s="6" t="s">
        <v>155</v>
      </c>
      <c r="B83" s="4"/>
      <c r="C83" s="236"/>
    </row>
    <row r="84" spans="1:7">
      <c r="A84" s="7" t="s">
        <v>157</v>
      </c>
      <c r="B84" s="8">
        <v>12182.1</v>
      </c>
      <c r="C84" s="238">
        <f>25000+3000</f>
        <v>28000</v>
      </c>
      <c r="E84" s="85">
        <f t="shared" ref="E84:E85" si="10">(B84/6)*12</f>
        <v>24364.2</v>
      </c>
    </row>
    <row r="85" spans="1:7">
      <c r="A85" s="7" t="s">
        <v>158</v>
      </c>
      <c r="B85" s="8">
        <v>925.11</v>
      </c>
      <c r="C85" s="231">
        <v>2000</v>
      </c>
      <c r="E85" s="85">
        <f t="shared" si="10"/>
        <v>1850.22</v>
      </c>
    </row>
    <row r="86" spans="1:7">
      <c r="A86" s="9" t="s">
        <v>159</v>
      </c>
      <c r="B86" s="10">
        <f>SUM(B84:B85)</f>
        <v>13107.210000000001</v>
      </c>
      <c r="C86" s="232">
        <f>SUM(C84:C85)</f>
        <v>30000</v>
      </c>
      <c r="E86" s="85">
        <f>(B86/6)*12</f>
        <v>26214.420000000006</v>
      </c>
      <c r="F86" s="228">
        <f>C86-E86</f>
        <v>3785.5799999999945</v>
      </c>
      <c r="G86" s="229">
        <f>F86/C86</f>
        <v>0.12618599999999983</v>
      </c>
    </row>
    <row r="87" spans="1:7">
      <c r="A87" s="6" t="s">
        <v>160</v>
      </c>
      <c r="B87" s="4"/>
      <c r="C87" s="236"/>
    </row>
    <row r="88" spans="1:7">
      <c r="A88" s="7" t="s">
        <v>161</v>
      </c>
      <c r="B88" s="8">
        <v>1331</v>
      </c>
      <c r="C88" s="231">
        <v>11800</v>
      </c>
      <c r="E88" s="85">
        <f t="shared" ref="E88:E89" si="11">(B88/6)*12</f>
        <v>2662</v>
      </c>
    </row>
    <row r="89" spans="1:7">
      <c r="A89" s="7" t="s">
        <v>162</v>
      </c>
      <c r="B89" s="8">
        <v>2065</v>
      </c>
      <c r="C89" s="231">
        <v>5000</v>
      </c>
      <c r="E89" s="85">
        <f t="shared" si="11"/>
        <v>4130</v>
      </c>
    </row>
    <row r="90" spans="1:7">
      <c r="A90" s="9" t="s">
        <v>163</v>
      </c>
      <c r="B90" s="10">
        <f>SUM(B88:B89)</f>
        <v>3396</v>
      </c>
      <c r="C90" s="232">
        <f>SUM(C88:C89)</f>
        <v>16800</v>
      </c>
      <c r="E90" s="85">
        <f>(B90/6)*12</f>
        <v>6792</v>
      </c>
      <c r="F90" s="228">
        <f>C90-E90</f>
        <v>10008</v>
      </c>
      <c r="G90" s="229">
        <f>F90/C90</f>
        <v>0.59571428571428575</v>
      </c>
    </row>
    <row r="91" spans="1:7">
      <c r="A91" s="6" t="s">
        <v>164</v>
      </c>
      <c r="B91" s="4">
        <v>10994.69</v>
      </c>
      <c r="C91" s="232">
        <v>23000</v>
      </c>
      <c r="E91" s="85">
        <f>(B91/6)*12</f>
        <v>21989.38</v>
      </c>
      <c r="F91" s="228">
        <f>C91-E91</f>
        <v>1010.619999999999</v>
      </c>
      <c r="G91" s="229">
        <f>F91/C91</f>
        <v>4.3939999999999958E-2</v>
      </c>
    </row>
    <row r="92" spans="1:7">
      <c r="A92" s="6" t="s">
        <v>165</v>
      </c>
      <c r="B92" s="4"/>
      <c r="C92" s="236"/>
    </row>
    <row r="93" spans="1:7">
      <c r="A93" s="7" t="s">
        <v>166</v>
      </c>
      <c r="B93" s="8">
        <v>54026.99</v>
      </c>
      <c r="C93" s="231">
        <v>105000</v>
      </c>
    </row>
    <row r="94" spans="1:7">
      <c r="A94" s="7" t="s">
        <v>167</v>
      </c>
      <c r="B94" s="8">
        <v>15492</v>
      </c>
      <c r="C94" s="231">
        <v>32000</v>
      </c>
    </row>
    <row r="95" spans="1:7">
      <c r="A95" s="9" t="s">
        <v>168</v>
      </c>
      <c r="B95" s="10">
        <f>SUM(B93:B94)</f>
        <v>69518.989999999991</v>
      </c>
      <c r="C95" s="232">
        <f>SUM(C93:C94)</f>
        <v>137000</v>
      </c>
      <c r="E95" s="85">
        <f>(B95/6)*12</f>
        <v>139037.97999999998</v>
      </c>
      <c r="F95" s="228">
        <f>C95-E95</f>
        <v>-2037.9799999999814</v>
      </c>
      <c r="G95" s="229">
        <f>F95/C95</f>
        <v>-1.4875766423357528E-2</v>
      </c>
    </row>
    <row r="96" spans="1:7">
      <c r="A96" s="6" t="s">
        <v>169</v>
      </c>
      <c r="B96" s="4"/>
      <c r="C96" s="236"/>
    </row>
    <row r="97" spans="1:9">
      <c r="A97" s="7" t="s">
        <v>170</v>
      </c>
      <c r="B97" s="8">
        <v>11908.68</v>
      </c>
      <c r="C97" s="231">
        <v>60000</v>
      </c>
    </row>
    <row r="98" spans="1:9">
      <c r="A98" s="7" t="s">
        <v>255</v>
      </c>
      <c r="B98" s="8">
        <v>78.11</v>
      </c>
      <c r="C98" s="231">
        <v>22000</v>
      </c>
    </row>
    <row r="99" spans="1:9">
      <c r="A99" s="7" t="s">
        <v>171</v>
      </c>
      <c r="B99" s="8">
        <v>8452.58</v>
      </c>
      <c r="C99" s="231">
        <v>12000</v>
      </c>
    </row>
    <row r="100" spans="1:9">
      <c r="A100" s="9" t="s">
        <v>172</v>
      </c>
      <c r="B100" s="10">
        <f>SUM(B97:B99)</f>
        <v>20439.370000000003</v>
      </c>
      <c r="C100" s="232">
        <f>SUM(C97:C99)</f>
        <v>94000</v>
      </c>
      <c r="E100" s="85">
        <f>(B100/6)*12</f>
        <v>40878.740000000005</v>
      </c>
      <c r="F100" s="228">
        <f>C100-E100</f>
        <v>53121.259999999995</v>
      </c>
      <c r="G100" s="229">
        <f>F100/C100</f>
        <v>0.56511978723404255</v>
      </c>
    </row>
    <row r="101" spans="1:9">
      <c r="A101" s="6" t="s">
        <v>173</v>
      </c>
      <c r="B101" s="4">
        <v>10865.75</v>
      </c>
      <c r="C101" s="232">
        <v>23000</v>
      </c>
      <c r="E101" s="85">
        <f>(B101/6)*12</f>
        <v>21731.5</v>
      </c>
      <c r="F101" s="228">
        <f>C101-E101</f>
        <v>1268.5</v>
      </c>
      <c r="G101" s="229">
        <f>F101/C101</f>
        <v>5.515217391304348E-2</v>
      </c>
    </row>
    <row r="102" spans="1:9">
      <c r="A102" s="6" t="s">
        <v>174</v>
      </c>
      <c r="B102" s="4"/>
      <c r="C102" s="236"/>
    </row>
    <row r="103" spans="1:9">
      <c r="A103" s="7" t="s">
        <v>175</v>
      </c>
      <c r="B103" s="8">
        <v>9315.2999999999993</v>
      </c>
      <c r="C103" s="231">
        <v>19000</v>
      </c>
    </row>
    <row r="104" spans="1:9">
      <c r="A104" s="9" t="s">
        <v>176</v>
      </c>
      <c r="B104" s="10">
        <f>SUM(B103)</f>
        <v>9315.2999999999993</v>
      </c>
      <c r="C104" s="232">
        <f>SUM(C103)</f>
        <v>19000</v>
      </c>
      <c r="E104" s="85">
        <f>(B104/6)*12</f>
        <v>18630.599999999999</v>
      </c>
      <c r="F104" s="228">
        <f>C104-E104</f>
        <v>369.40000000000146</v>
      </c>
      <c r="G104" s="229">
        <f>F104/C104</f>
        <v>1.9442105263157972E-2</v>
      </c>
    </row>
    <row r="105" spans="1:9">
      <c r="A105" s="6" t="s">
        <v>177</v>
      </c>
      <c r="B105" s="4"/>
      <c r="C105" s="236"/>
    </row>
    <row r="106" spans="1:9">
      <c r="A106" s="7" t="s">
        <v>178</v>
      </c>
      <c r="B106" s="8">
        <v>278</v>
      </c>
      <c r="C106" s="238">
        <f>6000+500</f>
        <v>6500</v>
      </c>
      <c r="E106" s="85">
        <f>(B106/6)*12</f>
        <v>556</v>
      </c>
      <c r="F106" s="228">
        <f>C106-E106</f>
        <v>5944</v>
      </c>
      <c r="G106" s="229">
        <f>F106/C106</f>
        <v>0.91446153846153844</v>
      </c>
      <c r="I106" s="222">
        <v>5203.63</v>
      </c>
    </row>
    <row r="107" spans="1:9">
      <c r="A107" s="7" t="s">
        <v>179</v>
      </c>
      <c r="B107" s="8">
        <v>2868.42</v>
      </c>
      <c r="C107" s="238">
        <f>12000+500</f>
        <v>12500</v>
      </c>
      <c r="E107" s="85">
        <f t="shared" ref="E107:E108" si="12">(B107/6)*12</f>
        <v>5736.84</v>
      </c>
      <c r="F107" s="228">
        <f t="shared" ref="F107:F109" si="13">C107-E107</f>
        <v>6763.16</v>
      </c>
      <c r="G107" s="229">
        <f t="shared" ref="G107:G109" si="14">F107/C107</f>
        <v>0.5410528</v>
      </c>
      <c r="I107" s="222">
        <v>10810.34</v>
      </c>
    </row>
    <row r="108" spans="1:9">
      <c r="A108" s="7" t="s">
        <v>180</v>
      </c>
      <c r="B108" s="8">
        <v>3350.59</v>
      </c>
      <c r="C108" s="231">
        <v>12000</v>
      </c>
      <c r="E108" s="85">
        <f t="shared" si="12"/>
        <v>6701.18</v>
      </c>
      <c r="F108" s="228">
        <f t="shared" si="13"/>
        <v>5298.82</v>
      </c>
      <c r="G108" s="229">
        <f t="shared" si="14"/>
        <v>0.44156833333333328</v>
      </c>
      <c r="I108" s="222">
        <v>10704.36</v>
      </c>
    </row>
    <row r="109" spans="1:9">
      <c r="A109" s="7" t="s">
        <v>256</v>
      </c>
      <c r="B109" s="8">
        <v>1260.3</v>
      </c>
      <c r="C109" s="231">
        <v>6234.08</v>
      </c>
      <c r="E109" s="85">
        <v>6234.08</v>
      </c>
      <c r="F109" s="228">
        <f t="shared" si="13"/>
        <v>0</v>
      </c>
      <c r="G109" s="229">
        <f t="shared" si="14"/>
        <v>0</v>
      </c>
      <c r="I109" s="222">
        <v>3740.42</v>
      </c>
    </row>
    <row r="110" spans="1:9">
      <c r="A110" s="9" t="s">
        <v>181</v>
      </c>
      <c r="B110" s="10">
        <f>SUM(B106:B109)</f>
        <v>7757.31</v>
      </c>
      <c r="C110" s="241">
        <f>SUM(C106:C109)</f>
        <v>37234.080000000002</v>
      </c>
      <c r="E110" s="85"/>
      <c r="F110" s="228"/>
      <c r="G110" s="229"/>
    </row>
    <row r="111" spans="1:9">
      <c r="A111" s="6" t="s">
        <v>182</v>
      </c>
      <c r="B111" s="4"/>
      <c r="C111" s="236"/>
    </row>
    <row r="112" spans="1:9">
      <c r="A112" s="7" t="s">
        <v>183</v>
      </c>
      <c r="B112" s="8">
        <v>1182.5</v>
      </c>
      <c r="C112" s="238">
        <f>18708.62+30000</f>
        <v>48708.619999999995</v>
      </c>
      <c r="I112" s="222">
        <v>14850</v>
      </c>
    </row>
    <row r="113" spans="1:9">
      <c r="A113" s="239" t="s">
        <v>312</v>
      </c>
      <c r="B113" s="240">
        <v>0</v>
      </c>
      <c r="C113" s="238">
        <v>50000</v>
      </c>
    </row>
    <row r="114" spans="1:9">
      <c r="A114" s="7" t="s">
        <v>184</v>
      </c>
      <c r="B114" s="8">
        <v>28000</v>
      </c>
      <c r="C114" s="231">
        <v>34000</v>
      </c>
      <c r="I114" s="222">
        <v>32675.5</v>
      </c>
    </row>
    <row r="115" spans="1:9">
      <c r="A115" s="9" t="s">
        <v>185</v>
      </c>
      <c r="B115" s="10">
        <f>SUM(B112+B114)</f>
        <v>29182.5</v>
      </c>
      <c r="C115" s="232">
        <f>SUM(C112:C114)</f>
        <v>132708.62</v>
      </c>
      <c r="E115" s="85">
        <f>(B115/6)*12</f>
        <v>58365</v>
      </c>
      <c r="F115" s="228">
        <f>C115-E115</f>
        <v>74343.62</v>
      </c>
      <c r="G115" s="229">
        <f>F115/C115</f>
        <v>0.56020189193437475</v>
      </c>
    </row>
    <row r="116" spans="1:9">
      <c r="A116" s="6" t="s">
        <v>186</v>
      </c>
      <c r="B116" s="4"/>
    </row>
    <row r="117" spans="1:9">
      <c r="A117" s="7" t="s">
        <v>187</v>
      </c>
      <c r="B117" s="8">
        <v>8.11</v>
      </c>
      <c r="C117" s="231">
        <v>785.63</v>
      </c>
      <c r="I117" s="222">
        <v>632.29999999999995</v>
      </c>
    </row>
    <row r="118" spans="1:9">
      <c r="A118" s="7" t="s">
        <v>188</v>
      </c>
      <c r="B118" s="8">
        <v>5391.48</v>
      </c>
      <c r="C118" s="231">
        <v>11000</v>
      </c>
      <c r="I118" s="222">
        <v>4713.68</v>
      </c>
    </row>
    <row r="119" spans="1:9">
      <c r="A119" s="7" t="s">
        <v>257</v>
      </c>
      <c r="B119" s="8">
        <v>25</v>
      </c>
      <c r="C119" s="231">
        <v>0</v>
      </c>
      <c r="I119" s="222">
        <v>0</v>
      </c>
    </row>
    <row r="120" spans="1:9">
      <c r="A120" s="7" t="s">
        <v>189</v>
      </c>
      <c r="B120" s="8">
        <v>689.2</v>
      </c>
      <c r="C120" s="231">
        <f>550+150</f>
        <v>700</v>
      </c>
      <c r="I120" s="222">
        <v>439.3</v>
      </c>
    </row>
    <row r="121" spans="1:9">
      <c r="A121" s="7" t="s">
        <v>190</v>
      </c>
      <c r="B121" s="8">
        <v>10107.43</v>
      </c>
      <c r="C121" s="231">
        <v>25639.200000000001</v>
      </c>
      <c r="I121" s="222">
        <v>21739.85</v>
      </c>
    </row>
    <row r="122" spans="1:9">
      <c r="A122" s="9" t="s">
        <v>191</v>
      </c>
      <c r="B122" s="10">
        <f>SUM(B117:B121)</f>
        <v>16221.22</v>
      </c>
      <c r="C122" s="232">
        <f>SUM(C117:C121)</f>
        <v>38124.83</v>
      </c>
      <c r="E122" s="85">
        <f>(B122/6)*12</f>
        <v>32442.439999999995</v>
      </c>
      <c r="F122" s="228">
        <f>C122-E122</f>
        <v>5682.3900000000067</v>
      </c>
      <c r="G122" s="229">
        <f>F122/C122</f>
        <v>0.149046959684804</v>
      </c>
    </row>
    <row r="123" spans="1:9">
      <c r="A123" s="6" t="s">
        <v>192</v>
      </c>
      <c r="B123" s="4"/>
    </row>
    <row r="124" spans="1:9">
      <c r="A124" s="7" t="s">
        <v>193</v>
      </c>
      <c r="B124" s="8">
        <v>935</v>
      </c>
      <c r="C124" s="231">
        <v>1200</v>
      </c>
      <c r="I124" s="222">
        <v>2678.06</v>
      </c>
    </row>
    <row r="125" spans="1:9">
      <c r="A125" s="7" t="s">
        <v>258</v>
      </c>
      <c r="B125" s="8">
        <v>1278.6400000000001</v>
      </c>
      <c r="C125" s="231">
        <v>2500</v>
      </c>
      <c r="I125" s="222">
        <v>912.07</v>
      </c>
    </row>
    <row r="126" spans="1:9">
      <c r="A126" s="9" t="s">
        <v>194</v>
      </c>
      <c r="B126" s="10">
        <f>SUM(B124:B125)</f>
        <v>2213.6400000000003</v>
      </c>
      <c r="C126" s="232">
        <f>SUM(C124:C125)</f>
        <v>3700</v>
      </c>
      <c r="E126" s="85">
        <f>(B126/6)*12</f>
        <v>4427.2800000000007</v>
      </c>
      <c r="F126" s="228">
        <f>C126-E126</f>
        <v>-727.28000000000065</v>
      </c>
      <c r="G126" s="229">
        <f>F126/C126</f>
        <v>-0.19656216216216235</v>
      </c>
      <c r="I126" s="222">
        <f>SUM(I124:I125)</f>
        <v>3590.13</v>
      </c>
    </row>
    <row r="127" spans="1:9">
      <c r="A127" s="11" t="s">
        <v>195</v>
      </c>
      <c r="B127" s="8">
        <v>5014.83</v>
      </c>
      <c r="C127" s="231">
        <v>12000</v>
      </c>
      <c r="E127" s="85">
        <f>(B127/6)*12</f>
        <v>10029.66</v>
      </c>
      <c r="F127" s="228">
        <f>C127-E127</f>
        <v>1970.3400000000001</v>
      </c>
      <c r="G127" s="229">
        <f>F127/C127</f>
        <v>0.16419500000000001</v>
      </c>
    </row>
    <row r="128" spans="1:9">
      <c r="A128" s="11" t="s">
        <v>196</v>
      </c>
      <c r="B128" s="8">
        <v>6659.83</v>
      </c>
      <c r="C128" s="242">
        <v>0</v>
      </c>
      <c r="E128" s="85">
        <f>(B128/6)*12</f>
        <v>13319.66</v>
      </c>
      <c r="F128" s="228">
        <f>C128-E128</f>
        <v>-13319.66</v>
      </c>
      <c r="G128" s="229" t="e">
        <f>F128/C128</f>
        <v>#DIV/0!</v>
      </c>
    </row>
    <row r="129" spans="1:9">
      <c r="A129" s="6" t="s">
        <v>197</v>
      </c>
      <c r="B129" s="4"/>
    </row>
    <row r="130" spans="1:9">
      <c r="A130" s="7" t="s">
        <v>198</v>
      </c>
      <c r="B130" s="8">
        <v>803.28</v>
      </c>
      <c r="C130" s="231">
        <v>3088.07</v>
      </c>
      <c r="I130" s="222">
        <v>2597.8200000000002</v>
      </c>
    </row>
    <row r="131" spans="1:9">
      <c r="A131" s="7" t="s">
        <v>199</v>
      </c>
      <c r="B131" s="8">
        <v>3928.63</v>
      </c>
      <c r="C131" s="231">
        <v>8500</v>
      </c>
      <c r="I131" s="222">
        <v>8294.19</v>
      </c>
    </row>
    <row r="132" spans="1:9">
      <c r="A132" s="7" t="s">
        <v>200</v>
      </c>
      <c r="B132" s="8">
        <v>1870.84</v>
      </c>
      <c r="C132" s="231">
        <v>7842.77</v>
      </c>
      <c r="I132" s="222">
        <v>6219.17</v>
      </c>
    </row>
    <row r="133" spans="1:9">
      <c r="A133" s="9" t="s">
        <v>201</v>
      </c>
      <c r="B133" s="10">
        <f>SUM(B130:B132)</f>
        <v>6602.75</v>
      </c>
      <c r="C133" s="232">
        <f>SUM(C130:C132)</f>
        <v>19430.84</v>
      </c>
      <c r="E133" s="85">
        <f>(B133/6)*12</f>
        <v>13205.5</v>
      </c>
      <c r="F133" s="228">
        <f>C133-E133</f>
        <v>6225.34</v>
      </c>
      <c r="G133" s="229">
        <f>F133/C133</f>
        <v>0.32038450216254161</v>
      </c>
    </row>
    <row r="134" spans="1:9">
      <c r="A134" s="6" t="s">
        <v>202</v>
      </c>
      <c r="B134" s="4"/>
    </row>
    <row r="135" spans="1:9">
      <c r="A135" s="7" t="s">
        <v>203</v>
      </c>
      <c r="B135" s="8">
        <v>302914.31</v>
      </c>
      <c r="C135" s="231">
        <v>650000</v>
      </c>
      <c r="I135" s="222">
        <v>624007.42000000004</v>
      </c>
    </row>
    <row r="136" spans="1:9">
      <c r="A136" s="7" t="s">
        <v>204</v>
      </c>
      <c r="B136" s="8">
        <v>783.11</v>
      </c>
      <c r="C136" s="231">
        <v>1500</v>
      </c>
    </row>
    <row r="137" spans="1:9">
      <c r="A137" s="7" t="s">
        <v>205</v>
      </c>
      <c r="B137" s="8">
        <v>1033.55</v>
      </c>
      <c r="C137" s="231">
        <v>2799.42</v>
      </c>
    </row>
    <row r="138" spans="1:9">
      <c r="A138" s="7" t="s">
        <v>206</v>
      </c>
      <c r="B138" s="8">
        <v>-546.79999999999995</v>
      </c>
      <c r="C138" s="231">
        <v>1195.74</v>
      </c>
    </row>
    <row r="139" spans="1:9">
      <c r="A139" s="7" t="s">
        <v>207</v>
      </c>
      <c r="B139" s="8">
        <v>1198.1099999999999</v>
      </c>
      <c r="C139" s="231">
        <v>1500</v>
      </c>
    </row>
    <row r="140" spans="1:9">
      <c r="A140" s="7" t="s">
        <v>259</v>
      </c>
      <c r="B140" s="8">
        <v>245.85</v>
      </c>
      <c r="C140" s="231">
        <v>500</v>
      </c>
    </row>
    <row r="141" spans="1:9">
      <c r="A141" s="7" t="s">
        <v>208</v>
      </c>
      <c r="B141" s="8">
        <v>1692.45</v>
      </c>
      <c r="C141" s="231">
        <v>3800</v>
      </c>
    </row>
    <row r="142" spans="1:9">
      <c r="A142" s="7" t="s">
        <v>209</v>
      </c>
      <c r="B142" s="8">
        <v>58569.45</v>
      </c>
      <c r="C142" s="231">
        <v>120000</v>
      </c>
    </row>
    <row r="143" spans="1:9">
      <c r="A143" s="9" t="s">
        <v>210</v>
      </c>
      <c r="B143" s="10">
        <f>SUM(B135:B142)</f>
        <v>365890.02999999997</v>
      </c>
      <c r="C143" s="232">
        <f>SUM(C135:C142)</f>
        <v>781295.16</v>
      </c>
      <c r="E143" s="85">
        <f>(B143/6)*12</f>
        <v>731780.05999999994</v>
      </c>
      <c r="F143" s="228">
        <f>C143-E143</f>
        <v>49515.100000000093</v>
      </c>
      <c r="G143" s="229">
        <f>F143/C143</f>
        <v>6.337566458238407E-2</v>
      </c>
    </row>
    <row r="144" spans="1:9">
      <c r="A144" s="11" t="s">
        <v>260</v>
      </c>
      <c r="B144" s="8">
        <v>2540.65</v>
      </c>
      <c r="C144" s="231">
        <v>25000</v>
      </c>
    </row>
    <row r="145" spans="1:9">
      <c r="A145" s="11" t="s">
        <v>211</v>
      </c>
      <c r="B145" s="8">
        <v>859.94</v>
      </c>
      <c r="C145" s="231">
        <v>3000</v>
      </c>
    </row>
    <row r="146" spans="1:9">
      <c r="A146" s="11" t="s">
        <v>212</v>
      </c>
      <c r="B146" s="8">
        <v>0</v>
      </c>
      <c r="C146" s="231">
        <v>17473.68</v>
      </c>
    </row>
    <row r="147" spans="1:9">
      <c r="A147" s="11" t="s">
        <v>213</v>
      </c>
      <c r="B147" s="8">
        <v>465.9</v>
      </c>
      <c r="C147" s="231">
        <v>1000</v>
      </c>
    </row>
    <row r="148" spans="1:9">
      <c r="A148" s="11" t="s">
        <v>214</v>
      </c>
      <c r="B148" s="8">
        <v>811.51</v>
      </c>
      <c r="C148" s="231">
        <v>2274.36</v>
      </c>
    </row>
    <row r="149" spans="1:9">
      <c r="A149" s="6" t="s">
        <v>215</v>
      </c>
      <c r="B149" s="4"/>
      <c r="C149" s="232">
        <f>SUM(C144:C148)</f>
        <v>48748.04</v>
      </c>
      <c r="E149" s="85">
        <f>(B149/6)*12</f>
        <v>0</v>
      </c>
      <c r="F149" s="228">
        <f>C149-E149</f>
        <v>48748.04</v>
      </c>
      <c r="G149" s="229">
        <f>F149/C149</f>
        <v>1</v>
      </c>
    </row>
    <row r="150" spans="1:9">
      <c r="A150" s="11" t="s">
        <v>313</v>
      </c>
      <c r="B150" s="8">
        <v>5499554.3899999997</v>
      </c>
      <c r="C150" s="231">
        <f>1901571+246345+453044+5608123</f>
        <v>8209083</v>
      </c>
      <c r="E150" s="85"/>
      <c r="F150" s="228"/>
      <c r="G150" s="229"/>
      <c r="I150" s="222">
        <v>10710721.82</v>
      </c>
    </row>
    <row r="151" spans="1:9">
      <c r="A151" s="16" t="s">
        <v>217</v>
      </c>
      <c r="B151" s="8">
        <v>5200979.05</v>
      </c>
      <c r="C151" s="231">
        <f>14790924+582124</f>
        <v>15373048</v>
      </c>
      <c r="E151" s="85">
        <f>(B151/6)*12</f>
        <v>10401958.1</v>
      </c>
      <c r="F151" s="228">
        <f>C151-E151</f>
        <v>4971089.9000000004</v>
      </c>
      <c r="G151" s="229">
        <f>F151/C151</f>
        <v>0.32336397440507569</v>
      </c>
      <c r="I151" s="222">
        <v>15040814.16</v>
      </c>
    </row>
    <row r="152" spans="1:9">
      <c r="A152" s="15" t="s">
        <v>218</v>
      </c>
      <c r="B152" s="4"/>
    </row>
    <row r="153" spans="1:9">
      <c r="A153" s="16" t="s">
        <v>219</v>
      </c>
      <c r="B153" s="8">
        <v>2057748.36</v>
      </c>
      <c r="C153" s="231">
        <f>(B153*2)*1.03</f>
        <v>4238961.6216000002</v>
      </c>
      <c r="I153" s="222">
        <v>3787907.92</v>
      </c>
    </row>
    <row r="154" spans="1:9">
      <c r="A154" s="17" t="s">
        <v>220</v>
      </c>
      <c r="B154" s="10">
        <f>SUM(B153)</f>
        <v>2057748.36</v>
      </c>
      <c r="C154" s="233">
        <f>SUM(C153)</f>
        <v>4238961.6216000002</v>
      </c>
      <c r="E154" s="85">
        <f>(B154/6)*12</f>
        <v>4115496.7199999997</v>
      </c>
      <c r="F154" s="228">
        <f>C154-E154</f>
        <v>123464.90160000045</v>
      </c>
      <c r="G154" s="229">
        <f>F154/C154</f>
        <v>2.9126213592233115E-2</v>
      </c>
    </row>
    <row r="155" spans="1:9">
      <c r="A155" s="9" t="s">
        <v>221</v>
      </c>
      <c r="B155" s="10">
        <f>SUM(B154)</f>
        <v>2057748.36</v>
      </c>
      <c r="C155" s="233">
        <f>C151+C154+C150</f>
        <v>27821092.621600002</v>
      </c>
      <c r="E155" s="85">
        <f>(B155/6)*12</f>
        <v>4115496.7199999997</v>
      </c>
      <c r="F155" s="228">
        <f>C155-E155</f>
        <v>23705595.901600003</v>
      </c>
      <c r="G155" s="229">
        <f>F155/C155</f>
        <v>0.85207278607006365</v>
      </c>
    </row>
    <row r="156" spans="1:9">
      <c r="A156" s="281" t="s">
        <v>314</v>
      </c>
      <c r="B156" s="243"/>
      <c r="C156" s="233"/>
      <c r="E156" s="85"/>
      <c r="F156" s="228"/>
      <c r="G156" s="229"/>
    </row>
    <row r="157" spans="1:9">
      <c r="A157" s="244" t="s">
        <v>315</v>
      </c>
      <c r="B157" s="240">
        <v>0</v>
      </c>
      <c r="C157" s="238">
        <v>50000</v>
      </c>
      <c r="E157" s="85"/>
      <c r="F157" s="228"/>
      <c r="G157" s="229"/>
    </row>
    <row r="158" spans="1:9">
      <c r="A158" s="244" t="s">
        <v>316</v>
      </c>
      <c r="B158" s="240">
        <v>0</v>
      </c>
      <c r="C158" s="238">
        <v>100000</v>
      </c>
      <c r="E158" s="85"/>
      <c r="F158" s="228"/>
      <c r="G158" s="229"/>
    </row>
    <row r="159" spans="1:9">
      <c r="A159" s="244" t="s">
        <v>317</v>
      </c>
      <c r="B159" s="240">
        <v>0</v>
      </c>
      <c r="C159" s="238">
        <v>30000</v>
      </c>
      <c r="E159" s="85"/>
      <c r="F159" s="228"/>
      <c r="G159" s="229"/>
    </row>
    <row r="160" spans="1:9">
      <c r="A160" s="244" t="s">
        <v>318</v>
      </c>
      <c r="B160" s="240">
        <v>0</v>
      </c>
      <c r="C160" s="238">
        <v>31000</v>
      </c>
      <c r="E160" s="85"/>
      <c r="F160" s="228"/>
      <c r="G160" s="229"/>
    </row>
    <row r="161" spans="1:7">
      <c r="A161" s="244" t="s">
        <v>319</v>
      </c>
      <c r="B161" s="240">
        <v>0</v>
      </c>
      <c r="C161" s="238">
        <v>50000</v>
      </c>
      <c r="E161" s="85"/>
      <c r="F161" s="228"/>
      <c r="G161" s="229"/>
    </row>
    <row r="162" spans="1:7">
      <c r="A162" s="245" t="s">
        <v>320</v>
      </c>
      <c r="B162" s="243"/>
      <c r="C162" s="246">
        <f>SUM(C157:C161)</f>
        <v>261000</v>
      </c>
      <c r="E162" s="85"/>
      <c r="F162" s="228"/>
      <c r="G162" s="229"/>
    </row>
    <row r="163" spans="1:7">
      <c r="A163" s="6" t="s">
        <v>222</v>
      </c>
      <c r="B163" s="4"/>
    </row>
    <row r="164" spans="1:7">
      <c r="A164" s="7" t="s">
        <v>261</v>
      </c>
      <c r="B164" s="8">
        <v>-509.98</v>
      </c>
      <c r="C164" s="222">
        <v>0</v>
      </c>
    </row>
    <row r="165" spans="1:7">
      <c r="A165" s="7" t="s">
        <v>223</v>
      </c>
      <c r="B165" s="8">
        <v>0.06</v>
      </c>
      <c r="C165" s="222">
        <v>0</v>
      </c>
    </row>
    <row r="166" spans="1:7">
      <c r="A166" s="9" t="s">
        <v>224</v>
      </c>
      <c r="B166" s="10">
        <f>SUM(B164:B165)</f>
        <v>-509.92</v>
      </c>
      <c r="C166" s="233">
        <f>SUM(C164:C165)</f>
        <v>0</v>
      </c>
      <c r="E166" s="85">
        <f>(B166/6)*12</f>
        <v>-1019.8399999999999</v>
      </c>
      <c r="F166" s="228">
        <f>C166-E166</f>
        <v>1019.8399999999999</v>
      </c>
      <c r="G166" s="229" t="e">
        <f>F166/C166</f>
        <v>#DIV/0!</v>
      </c>
    </row>
    <row r="167" spans="1:7">
      <c r="A167" s="11" t="s">
        <v>225</v>
      </c>
      <c r="B167" s="8">
        <v>422681</v>
      </c>
      <c r="C167" s="222">
        <f>C23</f>
        <v>440915.11</v>
      </c>
    </row>
    <row r="168" spans="1:7">
      <c r="A168" s="12" t="s">
        <v>226</v>
      </c>
      <c r="B168" s="10">
        <v>16437236.34</v>
      </c>
      <c r="C168" s="233">
        <f>C40+C44+C55+C58+C62+C67+C71+C82+C86+C90+C91+C95+C100+C101+C104+C110+C115+C122+C126+C127+C128+C133+C143+C149+C155+C167+C162</f>
        <v>36004973.804099999</v>
      </c>
      <c r="E168" s="85">
        <f>(B168/6)*12</f>
        <v>32874472.68</v>
      </c>
      <c r="F168" s="228">
        <f>C168-E168</f>
        <v>3130501.1240999997</v>
      </c>
      <c r="G168" s="229">
        <f>F168/C168</f>
        <v>8.6946351943839484E-2</v>
      </c>
    </row>
    <row r="169" spans="1:7">
      <c r="A169" s="18" t="s">
        <v>227</v>
      </c>
      <c r="B169" s="14">
        <v>238048.27</v>
      </c>
      <c r="C169" s="233">
        <f>C34-C168</f>
        <v>-18553608.254099999</v>
      </c>
      <c r="E169" s="85">
        <f>(B169/6)*12</f>
        <v>476096.53999999992</v>
      </c>
      <c r="F169" s="228">
        <f>C169-E169</f>
        <v>-19029704.794099998</v>
      </c>
      <c r="G169" s="229">
        <f>F169/C169</f>
        <v>1.0256605903002609</v>
      </c>
    </row>
    <row r="170" spans="1:7">
      <c r="A170" s="18" t="s">
        <v>228</v>
      </c>
      <c r="B170" s="14">
        <v>238048.27</v>
      </c>
      <c r="C170" s="233">
        <f>C34-C168</f>
        <v>-18553608.254099999</v>
      </c>
      <c r="E170" s="85">
        <f>(B170/6)*12</f>
        <v>476096.53999999992</v>
      </c>
      <c r="F170" s="228">
        <f>C170-E170</f>
        <v>-19029704.794099998</v>
      </c>
      <c r="G170" s="229">
        <f>F170/C170</f>
        <v>1.0256605903002609</v>
      </c>
    </row>
  </sheetData>
  <mergeCells count="6">
    <mergeCell ref="A6:O6"/>
    <mergeCell ref="A1:O1"/>
    <mergeCell ref="A2:O2"/>
    <mergeCell ref="A3:O3"/>
    <mergeCell ref="A4:O4"/>
    <mergeCell ref="A5:O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F79B9-1201-4B53-8CAD-63E87F3EC930}">
  <dimension ref="A1:CQ263"/>
  <sheetViews>
    <sheetView zoomScale="120" zoomScaleNormal="120" workbookViewId="0">
      <pane xSplit="1" ySplit="8" topLeftCell="K37" activePane="bottomRight" state="frozen"/>
      <selection pane="topRight" activeCell="B1" sqref="B1"/>
      <selection pane="bottomLeft" activeCell="A9" sqref="A9"/>
      <selection pane="bottomRight" activeCell="K37" sqref="K37"/>
    </sheetView>
  </sheetViews>
  <sheetFormatPr defaultRowHeight="11.25"/>
  <cols>
    <col min="1" max="1" width="57.6640625" bestFit="1" customWidth="1"/>
    <col min="2" max="2" width="12.5" bestFit="1" customWidth="1"/>
    <col min="3" max="3" width="16.6640625" bestFit="1" customWidth="1"/>
    <col min="4" max="4" width="17" bestFit="1" customWidth="1"/>
    <col min="5" max="5" width="36.33203125" bestFit="1" customWidth="1"/>
    <col min="6" max="6" width="20.5" bestFit="1" customWidth="1"/>
    <col min="7" max="7" width="22.6640625" bestFit="1" customWidth="1"/>
    <col min="8" max="8" width="18.83203125" bestFit="1" customWidth="1"/>
    <col min="9" max="9" width="14.1640625" bestFit="1" customWidth="1"/>
    <col min="10" max="10" width="19.5" bestFit="1" customWidth="1"/>
    <col min="11" max="11" width="18.83203125" bestFit="1" customWidth="1"/>
    <col min="12" max="12" width="13" bestFit="1" customWidth="1"/>
    <col min="13" max="14" width="14.1640625" bestFit="1" customWidth="1"/>
    <col min="15" max="15" width="13" bestFit="1" customWidth="1"/>
    <col min="16" max="16" width="35.33203125" customWidth="1"/>
    <col min="17" max="17" width="26.6640625" customWidth="1"/>
    <col min="18" max="18" width="23.1640625" customWidth="1"/>
    <col min="19" max="19" width="16.6640625" bestFit="1" customWidth="1"/>
    <col min="20" max="20" width="20.33203125" bestFit="1" customWidth="1"/>
    <col min="21" max="21" width="19.5" bestFit="1" customWidth="1"/>
    <col min="22" max="23" width="20.1640625" bestFit="1" customWidth="1"/>
    <col min="24" max="24" width="26.5" bestFit="1" customWidth="1"/>
    <col min="25" max="25" width="17.1640625" bestFit="1" customWidth="1"/>
    <col min="26" max="26" width="17.33203125" bestFit="1" customWidth="1"/>
    <col min="27" max="27" width="19.83203125" bestFit="1" customWidth="1"/>
    <col min="28" max="28" width="23.5" bestFit="1" customWidth="1"/>
    <col min="29" max="29" width="33.6640625" bestFit="1" customWidth="1"/>
    <col min="30" max="30" width="30.83203125" bestFit="1" customWidth="1"/>
    <col min="31" max="31" width="33.6640625" bestFit="1" customWidth="1"/>
    <col min="32" max="32" width="32" bestFit="1" customWidth="1"/>
    <col min="33" max="33" width="27.1640625" bestFit="1" customWidth="1"/>
    <col min="34" max="34" width="29.5" bestFit="1" customWidth="1"/>
    <col min="35" max="35" width="20.1640625" bestFit="1" customWidth="1"/>
    <col min="36" max="42" width="20.1640625" hidden="1" customWidth="1"/>
    <col min="43" max="43" width="40.1640625" bestFit="1" customWidth="1"/>
    <col min="44" max="44" width="44.5" bestFit="1" customWidth="1"/>
    <col min="45" max="45" width="20.1640625" hidden="1" customWidth="1"/>
    <col min="46" max="46" width="32" bestFit="1" customWidth="1"/>
    <col min="47" max="47" width="21.6640625" hidden="1" customWidth="1"/>
    <col min="48" max="48" width="26.6640625" hidden="1" customWidth="1"/>
    <col min="49" max="49" width="26.6640625" bestFit="1" customWidth="1"/>
    <col min="50" max="50" width="24.1640625" bestFit="1" customWidth="1"/>
    <col min="51" max="51" width="26.6640625" hidden="1" customWidth="1"/>
    <col min="52" max="52" width="34.33203125" bestFit="1" customWidth="1"/>
    <col min="53" max="53" width="32.5" bestFit="1" customWidth="1"/>
    <col min="54" max="54" width="42.33203125" bestFit="1" customWidth="1"/>
    <col min="55" max="58" width="26.6640625" hidden="1" customWidth="1"/>
    <col min="59" max="59" width="20.33203125" bestFit="1" customWidth="1"/>
    <col min="60" max="60" width="34.33203125" bestFit="1" customWidth="1"/>
    <col min="61" max="61" width="34.5" bestFit="1" customWidth="1"/>
    <col min="62" max="62" width="25.5" bestFit="1" customWidth="1"/>
    <col min="63" max="63" width="20.33203125" bestFit="1" customWidth="1"/>
    <col min="64" max="64" width="42.33203125" bestFit="1" customWidth="1"/>
    <col min="65" max="65" width="16.5" bestFit="1" customWidth="1"/>
    <col min="66" max="66" width="24.83203125" bestFit="1" customWidth="1"/>
    <col min="67" max="67" width="35.1640625" bestFit="1" customWidth="1"/>
    <col min="68" max="69" width="28.1640625" bestFit="1" customWidth="1"/>
    <col min="70" max="70" width="26.5" bestFit="1" customWidth="1"/>
    <col min="71" max="71" width="26.6640625" bestFit="1" customWidth="1"/>
    <col min="72" max="72" width="19.5" bestFit="1" customWidth="1"/>
    <col min="73" max="73" width="37" bestFit="1" customWidth="1"/>
    <col min="74" max="74" width="24.5" bestFit="1" customWidth="1"/>
    <col min="75" max="75" width="27.33203125" bestFit="1" customWidth="1"/>
    <col min="76" max="78" width="26.6640625" hidden="1" customWidth="1"/>
    <col min="79" max="79" width="15.33203125" bestFit="1" customWidth="1"/>
    <col min="80" max="80" width="16" bestFit="1" customWidth="1"/>
    <col min="81" max="81" width="15" bestFit="1" customWidth="1"/>
    <col min="82" max="82" width="23.5" bestFit="1" customWidth="1"/>
    <col min="83" max="83" width="14.5" bestFit="1" customWidth="1"/>
    <col min="84" max="84" width="20" bestFit="1" customWidth="1"/>
    <col min="85" max="85" width="20.33203125" bestFit="1" customWidth="1"/>
    <col min="86" max="86" width="19.5" bestFit="1" customWidth="1"/>
    <col min="87" max="88" width="14.5" bestFit="1" customWidth="1"/>
    <col min="89" max="89" width="13.83203125" bestFit="1" customWidth="1"/>
    <col min="90" max="90" width="16" bestFit="1" customWidth="1"/>
    <col min="91" max="91" width="24.5" bestFit="1" customWidth="1"/>
    <col min="92" max="92" width="24.33203125" bestFit="1" customWidth="1"/>
    <col min="93" max="93" width="24.5" bestFit="1" customWidth="1"/>
    <col min="94" max="94" width="24.1640625" bestFit="1" customWidth="1"/>
    <col min="95" max="95" width="15.5" bestFit="1" customWidth="1"/>
  </cols>
  <sheetData>
    <row r="1" spans="1:95" ht="15.75">
      <c r="A1" s="391" t="s">
        <v>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</row>
    <row r="2" spans="1:95" ht="15.75">
      <c r="A2" s="391" t="s">
        <v>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</row>
    <row r="3" spans="1:95" ht="18">
      <c r="A3" s="390" t="s">
        <v>2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J3" s="390"/>
      <c r="AK3" s="390"/>
      <c r="AL3" s="390"/>
      <c r="AM3" s="390"/>
      <c r="AN3" s="390"/>
      <c r="AO3" s="390"/>
      <c r="AP3" s="390"/>
      <c r="AQ3" s="390"/>
      <c r="AR3" s="390"/>
      <c r="AS3" s="390"/>
      <c r="AT3" s="390"/>
      <c r="AU3" s="390"/>
      <c r="AV3" s="390"/>
      <c r="AW3" s="390"/>
      <c r="AX3" s="390"/>
      <c r="AY3" s="390"/>
      <c r="AZ3" s="390"/>
      <c r="BA3" s="390"/>
      <c r="BB3" s="390"/>
      <c r="BC3" s="390"/>
      <c r="BD3" s="390"/>
      <c r="BE3" s="390"/>
      <c r="BF3" s="390"/>
      <c r="BG3" s="390"/>
      <c r="BH3" s="390"/>
      <c r="BI3" s="390"/>
      <c r="BJ3" s="390"/>
      <c r="BK3" s="390"/>
      <c r="BL3" s="390"/>
      <c r="BM3" s="390"/>
      <c r="BN3" s="390"/>
      <c r="BO3" s="390"/>
      <c r="BP3" s="390"/>
      <c r="BQ3" s="390"/>
      <c r="BR3" s="390"/>
      <c r="BS3" s="390"/>
      <c r="BT3" s="390"/>
      <c r="BU3" s="390"/>
      <c r="BV3" s="390"/>
      <c r="BW3" s="390"/>
      <c r="BX3" s="390"/>
      <c r="BY3" s="390"/>
      <c r="BZ3" s="390"/>
      <c r="CA3" s="390"/>
      <c r="CB3" s="390"/>
      <c r="CC3" s="390"/>
      <c r="CD3" s="390"/>
      <c r="CE3" s="390"/>
      <c r="CF3" s="390"/>
      <c r="CG3" s="390"/>
      <c r="CH3" s="390"/>
      <c r="CI3" s="390"/>
      <c r="CJ3" s="390"/>
      <c r="CK3" s="390"/>
      <c r="CL3" s="390"/>
      <c r="CM3" s="390"/>
      <c r="CN3" s="390"/>
      <c r="CO3" s="390"/>
      <c r="CP3" s="390"/>
      <c r="CQ3" s="390"/>
    </row>
    <row r="4" spans="1:95" ht="18">
      <c r="A4" s="390" t="s">
        <v>321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  <c r="AE4" s="390"/>
      <c r="AF4" s="390"/>
      <c r="AG4" s="390"/>
      <c r="AH4" s="390"/>
      <c r="AI4" s="390"/>
      <c r="AJ4" s="390"/>
      <c r="AK4" s="390"/>
      <c r="AL4" s="390"/>
      <c r="AM4" s="390"/>
      <c r="AN4" s="390"/>
      <c r="AO4" s="390"/>
      <c r="AP4" s="390"/>
      <c r="AQ4" s="390"/>
      <c r="AR4" s="390"/>
      <c r="AS4" s="390"/>
      <c r="AT4" s="390"/>
      <c r="AU4" s="390"/>
      <c r="AV4" s="390"/>
      <c r="AW4" s="390"/>
      <c r="AX4" s="390"/>
      <c r="AY4" s="390"/>
      <c r="AZ4" s="390"/>
      <c r="BA4" s="390"/>
      <c r="BB4" s="390"/>
      <c r="BC4" s="390"/>
      <c r="BD4" s="390"/>
      <c r="BE4" s="390"/>
      <c r="BF4" s="390"/>
      <c r="BG4" s="390"/>
      <c r="BH4" s="390"/>
      <c r="BI4" s="390"/>
      <c r="BJ4" s="390"/>
      <c r="BK4" s="390"/>
      <c r="BL4" s="390"/>
      <c r="BM4" s="390"/>
      <c r="BN4" s="390"/>
      <c r="BO4" s="390"/>
      <c r="BP4" s="390"/>
      <c r="BQ4" s="390"/>
      <c r="BR4" s="390"/>
      <c r="BS4" s="390"/>
      <c r="BT4" s="390"/>
      <c r="BU4" s="390"/>
      <c r="BV4" s="390"/>
      <c r="BW4" s="390"/>
      <c r="BX4" s="390"/>
      <c r="BY4" s="390"/>
      <c r="BZ4" s="390"/>
      <c r="CA4" s="390"/>
      <c r="CB4" s="390"/>
      <c r="CC4" s="390"/>
      <c r="CD4" s="390"/>
      <c r="CE4" s="390"/>
      <c r="CF4" s="390"/>
      <c r="CG4" s="390"/>
      <c r="CH4" s="390"/>
      <c r="CI4" s="390"/>
      <c r="CJ4" s="390"/>
      <c r="CK4" s="390"/>
      <c r="CL4" s="390"/>
      <c r="CM4" s="390"/>
      <c r="CN4" s="390"/>
      <c r="CO4" s="390"/>
      <c r="CP4" s="390"/>
      <c r="CQ4" s="390"/>
    </row>
    <row r="5" spans="1:95" ht="18">
      <c r="A5" s="390" t="s">
        <v>4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0"/>
      <c r="AG5" s="390"/>
      <c r="AH5" s="390"/>
      <c r="AI5" s="390"/>
      <c r="AJ5" s="390"/>
      <c r="AK5" s="390"/>
      <c r="AL5" s="390"/>
      <c r="AM5" s="390"/>
      <c r="AN5" s="390"/>
      <c r="AO5" s="390"/>
      <c r="AP5" s="390"/>
      <c r="AQ5" s="390"/>
      <c r="AR5" s="390"/>
      <c r="AS5" s="390"/>
      <c r="AT5" s="390"/>
      <c r="AU5" s="390"/>
      <c r="AV5" s="390"/>
      <c r="AW5" s="390"/>
      <c r="AX5" s="390"/>
      <c r="AY5" s="390"/>
      <c r="AZ5" s="390"/>
      <c r="BA5" s="390"/>
      <c r="BB5" s="390"/>
      <c r="BC5" s="390"/>
      <c r="BD5" s="390"/>
      <c r="BE5" s="390"/>
      <c r="BF5" s="390"/>
      <c r="BG5" s="390"/>
      <c r="BH5" s="390"/>
      <c r="BI5" s="390"/>
      <c r="BJ5" s="390"/>
      <c r="BK5" s="390"/>
      <c r="BL5" s="390"/>
      <c r="BM5" s="390"/>
      <c r="BN5" s="390"/>
      <c r="BO5" s="390"/>
      <c r="BP5" s="390"/>
      <c r="BQ5" s="390"/>
      <c r="BR5" s="390"/>
      <c r="BS5" s="390"/>
      <c r="BT5" s="390"/>
      <c r="BU5" s="390"/>
      <c r="BV5" s="390"/>
      <c r="BW5" s="390"/>
      <c r="BX5" s="390"/>
      <c r="BY5" s="390"/>
      <c r="BZ5" s="390"/>
      <c r="CA5" s="390"/>
      <c r="CB5" s="390"/>
      <c r="CC5" s="390"/>
      <c r="CD5" s="390"/>
      <c r="CE5" s="390"/>
      <c r="CF5" s="390"/>
      <c r="CG5" s="390"/>
      <c r="CH5" s="390"/>
      <c r="CI5" s="390"/>
      <c r="CJ5" s="390"/>
      <c r="CK5" s="390"/>
      <c r="CL5" s="390"/>
      <c r="CM5" s="390"/>
      <c r="CN5" s="390"/>
      <c r="CO5" s="390"/>
      <c r="CP5" s="390"/>
      <c r="CQ5" s="390"/>
    </row>
    <row r="6" spans="1:95" ht="18">
      <c r="A6" s="390" t="s">
        <v>5</v>
      </c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0"/>
      <c r="P6" s="390"/>
      <c r="Q6" s="390"/>
      <c r="R6" s="390"/>
      <c r="S6" s="390"/>
      <c r="T6" s="390"/>
      <c r="U6" s="390"/>
      <c r="V6" s="390"/>
      <c r="W6" s="390"/>
      <c r="X6" s="390"/>
      <c r="Y6" s="390"/>
      <c r="Z6" s="390"/>
      <c r="AA6" s="390"/>
      <c r="AB6" s="390"/>
      <c r="AC6" s="390"/>
      <c r="AD6" s="390"/>
      <c r="AE6" s="390"/>
      <c r="AF6" s="390"/>
      <c r="AG6" s="390"/>
      <c r="AH6" s="390"/>
      <c r="AI6" s="390"/>
      <c r="AJ6" s="390"/>
      <c r="AK6" s="390"/>
      <c r="AL6" s="390"/>
      <c r="AM6" s="390"/>
      <c r="AN6" s="390"/>
      <c r="AO6" s="390"/>
      <c r="AP6" s="390"/>
      <c r="AQ6" s="390"/>
      <c r="AR6" s="390"/>
      <c r="AS6" s="390"/>
      <c r="AT6" s="390"/>
      <c r="AU6" s="390"/>
      <c r="AV6" s="390"/>
      <c r="AW6" s="390"/>
      <c r="AX6" s="390"/>
      <c r="AY6" s="390"/>
      <c r="AZ6" s="390"/>
      <c r="BA6" s="390"/>
      <c r="BB6" s="390"/>
      <c r="BC6" s="390"/>
      <c r="BD6" s="390"/>
      <c r="BE6" s="390"/>
      <c r="BF6" s="390"/>
      <c r="BG6" s="390"/>
      <c r="BH6" s="390"/>
      <c r="BI6" s="390"/>
      <c r="BJ6" s="390"/>
      <c r="BK6" s="390"/>
      <c r="BL6" s="390"/>
      <c r="BM6" s="390"/>
      <c r="BN6" s="390"/>
      <c r="BO6" s="390"/>
      <c r="BP6" s="390"/>
      <c r="BQ6" s="390"/>
      <c r="BR6" s="390"/>
      <c r="BS6" s="390"/>
      <c r="BT6" s="390"/>
      <c r="BU6" s="390"/>
      <c r="BV6" s="390"/>
      <c r="BW6" s="390"/>
      <c r="BX6" s="390"/>
      <c r="BY6" s="390"/>
      <c r="BZ6" s="390"/>
      <c r="CA6" s="390"/>
      <c r="CB6" s="390"/>
      <c r="CC6" s="390"/>
      <c r="CD6" s="390"/>
      <c r="CE6" s="390"/>
      <c r="CF6" s="390"/>
      <c r="CG6" s="390"/>
      <c r="CH6" s="390"/>
      <c r="CI6" s="390"/>
      <c r="CJ6" s="390"/>
      <c r="CK6" s="390"/>
      <c r="CL6" s="390"/>
      <c r="CM6" s="390"/>
      <c r="CN6" s="390"/>
      <c r="CO6" s="390"/>
      <c r="CP6" s="390"/>
      <c r="CQ6" s="390"/>
    </row>
    <row r="7" spans="1:95">
      <c r="A7" s="1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  <c r="K7" s="2" t="s">
        <v>16</v>
      </c>
      <c r="L7" s="2" t="s">
        <v>17</v>
      </c>
      <c r="M7" s="2" t="s">
        <v>18</v>
      </c>
      <c r="N7" s="2" t="s">
        <v>19</v>
      </c>
      <c r="O7" s="2" t="s">
        <v>20</v>
      </c>
      <c r="P7" s="1" t="s">
        <v>21</v>
      </c>
      <c r="Q7" s="1" t="s">
        <v>22</v>
      </c>
      <c r="R7" s="1" t="s">
        <v>23</v>
      </c>
      <c r="S7" s="2" t="s">
        <v>24</v>
      </c>
      <c r="T7" s="2" t="s">
        <v>25</v>
      </c>
      <c r="U7" s="2" t="s">
        <v>26</v>
      </c>
      <c r="V7" s="2" t="s">
        <v>27</v>
      </c>
      <c r="W7" s="2" t="s">
        <v>28</v>
      </c>
      <c r="X7" s="2" t="s">
        <v>29</v>
      </c>
      <c r="Y7" s="2" t="s">
        <v>30</v>
      </c>
      <c r="Z7" s="2" t="s">
        <v>31</v>
      </c>
      <c r="AA7" s="2" t="s">
        <v>32</v>
      </c>
      <c r="AB7" s="2" t="s">
        <v>33</v>
      </c>
      <c r="AC7" s="2" t="s">
        <v>34</v>
      </c>
      <c r="AD7" s="2" t="s">
        <v>35</v>
      </c>
      <c r="AE7" s="2" t="s">
        <v>322</v>
      </c>
      <c r="AF7" s="2" t="s">
        <v>36</v>
      </c>
      <c r="AG7" s="2" t="s">
        <v>37</v>
      </c>
      <c r="AH7" s="2" t="s">
        <v>38</v>
      </c>
      <c r="AI7" s="2" t="s">
        <v>39</v>
      </c>
      <c r="AJ7" s="92" t="s">
        <v>40</v>
      </c>
      <c r="AK7" s="92" t="s">
        <v>41</v>
      </c>
      <c r="AL7" s="92" t="s">
        <v>42</v>
      </c>
      <c r="AM7" s="92" t="s">
        <v>43</v>
      </c>
      <c r="AN7" s="92" t="s">
        <v>44</v>
      </c>
      <c r="AO7" s="92" t="s">
        <v>45</v>
      </c>
      <c r="AP7" s="92" t="s">
        <v>46</v>
      </c>
      <c r="AQ7" s="2" t="s">
        <v>47</v>
      </c>
      <c r="AR7" s="2" t="s">
        <v>48</v>
      </c>
      <c r="AS7" s="92" t="s">
        <v>49</v>
      </c>
      <c r="AT7" s="2" t="s">
        <v>50</v>
      </c>
      <c r="AU7" s="92" t="s">
        <v>51</v>
      </c>
      <c r="AV7" s="92" t="s">
        <v>52</v>
      </c>
      <c r="AW7" s="2" t="s">
        <v>53</v>
      </c>
      <c r="AX7" s="2" t="s">
        <v>54</v>
      </c>
      <c r="AY7" s="92" t="s">
        <v>55</v>
      </c>
      <c r="AZ7" s="2" t="s">
        <v>56</v>
      </c>
      <c r="BA7" s="2" t="s">
        <v>57</v>
      </c>
      <c r="BB7" s="2" t="s">
        <v>58</v>
      </c>
      <c r="BC7" s="86" t="s">
        <v>59</v>
      </c>
      <c r="BD7" s="86" t="s">
        <v>60</v>
      </c>
      <c r="BE7" s="86" t="s">
        <v>61</v>
      </c>
      <c r="BF7" s="86" t="s">
        <v>62</v>
      </c>
      <c r="BG7" s="2" t="s">
        <v>63</v>
      </c>
      <c r="BH7" s="2" t="s">
        <v>64</v>
      </c>
      <c r="BI7" s="2" t="s">
        <v>65</v>
      </c>
      <c r="BJ7" s="2" t="s">
        <v>66</v>
      </c>
      <c r="BK7" s="2" t="s">
        <v>67</v>
      </c>
      <c r="BL7" s="2" t="s">
        <v>68</v>
      </c>
      <c r="BM7" s="2" t="s">
        <v>69</v>
      </c>
      <c r="BN7" s="2" t="s">
        <v>70</v>
      </c>
      <c r="BO7" s="2" t="s">
        <v>71</v>
      </c>
      <c r="BP7" s="2" t="s">
        <v>72</v>
      </c>
      <c r="BQ7" s="2" t="s">
        <v>73</v>
      </c>
      <c r="BR7" s="2" t="s">
        <v>74</v>
      </c>
      <c r="BS7" s="2" t="s">
        <v>75</v>
      </c>
      <c r="BT7" s="2" t="s">
        <v>76</v>
      </c>
      <c r="BU7" s="2" t="s">
        <v>77</v>
      </c>
      <c r="BV7" s="2" t="s">
        <v>78</v>
      </c>
      <c r="BW7" s="2" t="s">
        <v>79</v>
      </c>
      <c r="BX7" s="92" t="s">
        <v>80</v>
      </c>
      <c r="BY7" s="92" t="s">
        <v>81</v>
      </c>
      <c r="BZ7" s="92" t="s">
        <v>82</v>
      </c>
      <c r="CA7" s="2" t="s">
        <v>83</v>
      </c>
      <c r="CB7" s="118" t="s">
        <v>323</v>
      </c>
      <c r="CC7" s="118" t="s">
        <v>324</v>
      </c>
    </row>
    <row r="8" spans="1:95">
      <c r="A8" s="1" t="s">
        <v>84</v>
      </c>
      <c r="B8" s="2" t="s">
        <v>85</v>
      </c>
      <c r="C8" s="2" t="s">
        <v>85</v>
      </c>
      <c r="D8" s="2" t="s">
        <v>85</v>
      </c>
      <c r="E8" s="2" t="s">
        <v>85</v>
      </c>
      <c r="F8" s="2" t="s">
        <v>85</v>
      </c>
      <c r="G8" s="2" t="s">
        <v>85</v>
      </c>
      <c r="H8" s="2" t="s">
        <v>85</v>
      </c>
      <c r="I8" s="2" t="s">
        <v>85</v>
      </c>
      <c r="J8" s="2" t="s">
        <v>85</v>
      </c>
      <c r="K8" s="2" t="s">
        <v>85</v>
      </c>
      <c r="L8" s="2" t="s">
        <v>85</v>
      </c>
      <c r="M8" s="2" t="s">
        <v>85</v>
      </c>
      <c r="N8" s="2" t="s">
        <v>85</v>
      </c>
      <c r="O8" s="2" t="s">
        <v>85</v>
      </c>
      <c r="P8" s="2" t="s">
        <v>85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85</v>
      </c>
      <c r="Y8" s="2" t="s">
        <v>85</v>
      </c>
      <c r="Z8" s="2" t="s">
        <v>85</v>
      </c>
      <c r="AA8" s="2" t="s">
        <v>85</v>
      </c>
      <c r="AB8" s="2" t="s">
        <v>85</v>
      </c>
      <c r="AC8" s="2" t="s">
        <v>85</v>
      </c>
      <c r="AD8" s="2" t="s">
        <v>85</v>
      </c>
      <c r="AE8" s="2" t="s">
        <v>85</v>
      </c>
      <c r="AF8" s="2" t="s">
        <v>85</v>
      </c>
      <c r="AG8" s="2" t="s">
        <v>85</v>
      </c>
      <c r="AH8" s="2" t="s">
        <v>85</v>
      </c>
      <c r="AI8" s="2" t="s">
        <v>85</v>
      </c>
      <c r="AJ8" s="92" t="s">
        <v>85</v>
      </c>
      <c r="AK8" s="92" t="s">
        <v>85</v>
      </c>
      <c r="AL8" s="92" t="s">
        <v>85</v>
      </c>
      <c r="AM8" s="92" t="s">
        <v>85</v>
      </c>
      <c r="AN8" s="92" t="s">
        <v>85</v>
      </c>
      <c r="AO8" s="92" t="s">
        <v>85</v>
      </c>
      <c r="AP8" s="92" t="s">
        <v>85</v>
      </c>
      <c r="AQ8" s="2" t="s">
        <v>85</v>
      </c>
      <c r="AR8" s="2" t="s">
        <v>85</v>
      </c>
      <c r="AS8" s="92" t="s">
        <v>85</v>
      </c>
      <c r="AT8" s="2" t="s">
        <v>85</v>
      </c>
      <c r="AU8" s="86" t="s">
        <v>85</v>
      </c>
      <c r="AV8" s="86" t="s">
        <v>85</v>
      </c>
      <c r="AW8" s="2" t="s">
        <v>85</v>
      </c>
      <c r="AX8" s="2" t="s">
        <v>85</v>
      </c>
      <c r="AY8" s="92" t="s">
        <v>85</v>
      </c>
      <c r="AZ8" s="2" t="s">
        <v>85</v>
      </c>
      <c r="BA8" s="2" t="s">
        <v>85</v>
      </c>
      <c r="BB8" s="2" t="s">
        <v>85</v>
      </c>
      <c r="BC8" s="86" t="s">
        <v>85</v>
      </c>
      <c r="BD8" s="86" t="s">
        <v>85</v>
      </c>
      <c r="BE8" s="86" t="s">
        <v>85</v>
      </c>
      <c r="BF8" s="86" t="s">
        <v>85</v>
      </c>
      <c r="BG8" s="2" t="s">
        <v>85</v>
      </c>
      <c r="BH8" s="2" t="s">
        <v>85</v>
      </c>
      <c r="BI8" s="2" t="s">
        <v>85</v>
      </c>
      <c r="BJ8" s="2" t="s">
        <v>85</v>
      </c>
      <c r="BK8" s="2" t="s">
        <v>85</v>
      </c>
      <c r="BL8" s="2" t="s">
        <v>85</v>
      </c>
      <c r="BM8" s="2" t="s">
        <v>85</v>
      </c>
      <c r="BN8" s="2" t="s">
        <v>85</v>
      </c>
      <c r="BO8" s="2" t="s">
        <v>85</v>
      </c>
      <c r="BP8" s="2" t="s">
        <v>85</v>
      </c>
      <c r="BQ8" s="2" t="s">
        <v>85</v>
      </c>
      <c r="BR8" s="2" t="s">
        <v>85</v>
      </c>
      <c r="BS8" s="2" t="s">
        <v>85</v>
      </c>
      <c r="BT8" s="2" t="s">
        <v>85</v>
      </c>
      <c r="BU8" s="2" t="s">
        <v>85</v>
      </c>
      <c r="BV8" s="2" t="s">
        <v>85</v>
      </c>
      <c r="BW8" s="2" t="s">
        <v>85</v>
      </c>
      <c r="BX8" s="92" t="s">
        <v>85</v>
      </c>
      <c r="BY8" s="92" t="s">
        <v>85</v>
      </c>
      <c r="BZ8" s="92" t="s">
        <v>85</v>
      </c>
      <c r="CA8" s="2" t="s">
        <v>85</v>
      </c>
      <c r="CB8" s="118" t="s">
        <v>325</v>
      </c>
      <c r="CC8" s="118" t="s">
        <v>326</v>
      </c>
    </row>
    <row r="9" spans="1:95">
      <c r="A9" s="3" t="s">
        <v>86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15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87"/>
      <c r="AK9" s="87"/>
      <c r="AL9" s="87"/>
      <c r="AM9" s="87"/>
      <c r="AN9" s="87"/>
      <c r="AO9" s="87"/>
      <c r="AP9" s="87"/>
      <c r="AQ9" s="4"/>
      <c r="AR9" s="4"/>
      <c r="AS9" s="87"/>
      <c r="AT9" s="4"/>
      <c r="AU9" s="87"/>
      <c r="AV9" s="87"/>
      <c r="AW9" s="4"/>
      <c r="AX9" s="4"/>
      <c r="AY9" s="87"/>
      <c r="AZ9" s="4"/>
      <c r="BA9" s="4"/>
      <c r="BB9" s="4"/>
      <c r="BC9" s="87"/>
      <c r="BD9" s="87"/>
      <c r="BE9" s="87"/>
      <c r="BF9" s="87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87"/>
      <c r="BY9" s="87"/>
      <c r="BZ9" s="87"/>
      <c r="CA9" s="4"/>
    </row>
    <row r="10" spans="1:95" ht="15.75">
      <c r="A10" s="5" t="s">
        <v>87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87"/>
      <c r="AK10" s="87"/>
      <c r="AL10" s="87"/>
      <c r="AM10" s="87"/>
      <c r="AN10" s="87"/>
      <c r="AO10" s="87"/>
      <c r="AP10" s="87"/>
      <c r="AQ10" s="4"/>
      <c r="AR10" s="4"/>
      <c r="AS10" s="87"/>
      <c r="AT10" s="4"/>
      <c r="AU10" s="87"/>
      <c r="AV10" s="87"/>
      <c r="AW10" s="4"/>
      <c r="AX10" s="4"/>
      <c r="AY10" s="87"/>
      <c r="AZ10" s="4"/>
      <c r="BA10" s="4"/>
      <c r="BB10" s="106"/>
      <c r="BC10" s="87"/>
      <c r="BD10" s="87"/>
      <c r="BE10" s="87"/>
      <c r="BF10" s="87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87"/>
      <c r="BY10" s="87"/>
      <c r="BZ10" s="87"/>
      <c r="CA10" s="4"/>
    </row>
    <row r="11" spans="1:95">
      <c r="A11" s="6" t="s">
        <v>88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87"/>
      <c r="AK11" s="87"/>
      <c r="AL11" s="87"/>
      <c r="AM11" s="87"/>
      <c r="AN11" s="87"/>
      <c r="AO11" s="87"/>
      <c r="AP11" s="87"/>
      <c r="AQ11" s="4"/>
      <c r="AR11" s="4"/>
      <c r="AS11" s="87"/>
      <c r="AT11" s="4"/>
      <c r="AU11" s="87"/>
      <c r="AV11" s="87"/>
      <c r="AW11" s="4"/>
      <c r="AX11" s="4"/>
      <c r="AY11" s="87"/>
      <c r="AZ11" s="4"/>
      <c r="BA11" s="4"/>
      <c r="BB11" s="4"/>
      <c r="BC11" s="87"/>
      <c r="BD11" s="87"/>
      <c r="BE11" s="87"/>
      <c r="BF11" s="87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87"/>
      <c r="BY11" s="87"/>
      <c r="BZ11" s="87"/>
      <c r="CA11" s="4"/>
    </row>
    <row r="12" spans="1:95">
      <c r="A12" s="78" t="s">
        <v>89</v>
      </c>
      <c r="B12" s="8">
        <f>'June 2024 YTD'!B12*2</f>
        <v>0</v>
      </c>
      <c r="C12" s="8">
        <v>906549</v>
      </c>
      <c r="D12" s="8">
        <f>406511+174219</f>
        <v>580730</v>
      </c>
      <c r="E12" s="8">
        <v>107516</v>
      </c>
      <c r="F12" s="8">
        <v>112110</v>
      </c>
      <c r="G12" s="8">
        <v>65327</v>
      </c>
      <c r="H12" s="8">
        <f>87811.5+87811.5</f>
        <v>175623</v>
      </c>
      <c r="I12" s="8">
        <v>282800</v>
      </c>
      <c r="J12" s="8">
        <f>'June 2024 YTD'!J12*2</f>
        <v>0</v>
      </c>
      <c r="K12" s="8">
        <f>'June 2024 YTD'!K12*2</f>
        <v>0</v>
      </c>
      <c r="L12" s="8">
        <v>47276</v>
      </c>
      <c r="M12" s="8">
        <v>184806.75</v>
      </c>
      <c r="N12" s="8">
        <v>348599.91</v>
      </c>
      <c r="O12" s="8">
        <v>80847.64</v>
      </c>
      <c r="P12" s="8">
        <f>4524.5*2</f>
        <v>9049</v>
      </c>
      <c r="Q12" s="8">
        <f>4620*2</f>
        <v>9240</v>
      </c>
      <c r="R12" s="8">
        <f>4942*2</f>
        <v>9884</v>
      </c>
      <c r="S12" s="8">
        <v>21266.91</v>
      </c>
      <c r="T12" s="8">
        <f>26998*2</f>
        <v>53996</v>
      </c>
      <c r="U12" s="8">
        <f>'June 2024 YTD'!U12*2</f>
        <v>0</v>
      </c>
      <c r="V12" s="8">
        <f>'June 2024 YTD'!V12*2</f>
        <v>0</v>
      </c>
      <c r="W12" s="8">
        <f>'June 2024 YTD'!W12*2</f>
        <v>0</v>
      </c>
      <c r="X12" s="8">
        <v>96682.37</v>
      </c>
      <c r="Y12" s="8">
        <f>'June 2024 YTD'!Y12*2</f>
        <v>0</v>
      </c>
      <c r="Z12" s="8">
        <f>'June 2024 YTD'!Z12*2</f>
        <v>0</v>
      </c>
      <c r="AA12" s="8">
        <f>'June 2024 YTD'!AA12*2</f>
        <v>0</v>
      </c>
      <c r="AB12" s="105">
        <v>205197.63</v>
      </c>
      <c r="AC12" s="8">
        <v>12000</v>
      </c>
      <c r="AD12" s="8">
        <v>5000</v>
      </c>
      <c r="AE12" s="8">
        <v>13772</v>
      </c>
      <c r="AF12" s="8">
        <f>'June 2024 YTD'!AE12*2</f>
        <v>0</v>
      </c>
      <c r="AG12" s="8">
        <f>('June 2024 YTD'!AF12*2)*1.03</f>
        <v>2576787.3796000001</v>
      </c>
      <c r="AH12" s="8">
        <f>('June 2024 YTD'!AG12*2)*1.03</f>
        <v>1046114.6178</v>
      </c>
      <c r="AI12" s="8">
        <v>0</v>
      </c>
      <c r="AJ12" s="88">
        <v>0</v>
      </c>
      <c r="AK12" s="88">
        <v>0</v>
      </c>
      <c r="AL12" s="88">
        <v>0</v>
      </c>
      <c r="AM12" s="88">
        <v>0</v>
      </c>
      <c r="AN12" s="88">
        <v>0</v>
      </c>
      <c r="AO12" s="88">
        <v>0</v>
      </c>
      <c r="AP12" s="88">
        <v>0</v>
      </c>
      <c r="AQ12" s="8">
        <v>36869</v>
      </c>
      <c r="AR12" s="8">
        <v>0</v>
      </c>
      <c r="AS12" s="88">
        <v>0</v>
      </c>
      <c r="AT12" s="8">
        <v>8285</v>
      </c>
      <c r="AU12" s="88">
        <v>0</v>
      </c>
      <c r="AV12" s="88">
        <v>0</v>
      </c>
      <c r="AW12" s="8">
        <v>199780</v>
      </c>
      <c r="AX12" s="8">
        <f>'June 2024 YTD'!AW12*2</f>
        <v>0</v>
      </c>
      <c r="AY12" s="88">
        <v>0</v>
      </c>
      <c r="AZ12" s="8">
        <f>'June 2024 YTD'!AY12*2</f>
        <v>0</v>
      </c>
      <c r="BA12" s="8">
        <f>'June 2024 YTD'!AZ12*2</f>
        <v>0</v>
      </c>
      <c r="BB12" s="8">
        <f>'June 2024 YTD'!BA12*2</f>
        <v>0</v>
      </c>
      <c r="BC12" s="88">
        <v>0</v>
      </c>
      <c r="BD12" s="88">
        <v>0</v>
      </c>
      <c r="BE12" s="88">
        <v>0</v>
      </c>
      <c r="BF12" s="88">
        <v>0</v>
      </c>
      <c r="BG12" s="8">
        <f>'June 2024 YTD'!BF12*2</f>
        <v>0</v>
      </c>
      <c r="BH12" s="8">
        <f>'June 2024 YTD'!BG12*2</f>
        <v>0</v>
      </c>
      <c r="BI12" s="8">
        <f>'June 2024 YTD'!BH12*2</f>
        <v>0</v>
      </c>
      <c r="BJ12" s="8">
        <f>523423+43862+485329+138138+755869</f>
        <v>1946621</v>
      </c>
      <c r="BK12" s="8">
        <v>720231</v>
      </c>
      <c r="BL12" s="8">
        <v>2988687</v>
      </c>
      <c r="BM12" s="8">
        <v>34900</v>
      </c>
      <c r="BN12" s="8">
        <v>634124</v>
      </c>
      <c r="BO12" s="8">
        <f>'June 2024 YTD'!BN12*2</f>
        <v>0</v>
      </c>
      <c r="BP12" s="8">
        <f>'June 2024 YTD'!BO12*2</f>
        <v>0</v>
      </c>
      <c r="BQ12" s="8">
        <f>'June 2024 YTD'!BP12*2</f>
        <v>0</v>
      </c>
      <c r="BR12" s="8">
        <f>'June 2024 YTD'!BQ12*2</f>
        <v>0</v>
      </c>
      <c r="BS12" s="8">
        <f>'June 2024 YTD'!BR12*2</f>
        <v>0</v>
      </c>
      <c r="BT12" s="8">
        <f>'June 2024 YTD'!BS12*2</f>
        <v>0</v>
      </c>
      <c r="BU12" s="8">
        <f>'June 2024 YTD'!BT12*2</f>
        <v>0</v>
      </c>
      <c r="BV12" s="8">
        <v>256925</v>
      </c>
      <c r="BW12" s="8">
        <f>68606+382233+10078</f>
        <v>460917</v>
      </c>
      <c r="BX12" s="88">
        <v>0</v>
      </c>
      <c r="BY12" s="88">
        <v>0</v>
      </c>
      <c r="BZ12" s="88">
        <v>0</v>
      </c>
      <c r="CA12" s="8">
        <f>SUM(B12:BZ12)</f>
        <v>14238514.207400002</v>
      </c>
    </row>
    <row r="13" spans="1:95">
      <c r="A13" s="78" t="s">
        <v>90</v>
      </c>
      <c r="B13" s="8">
        <f>'June 2024 YTD'!B13*2</f>
        <v>0</v>
      </c>
      <c r="C13" s="8">
        <v>27690</v>
      </c>
      <c r="D13" s="8">
        <f>'June 2024 YTD'!D13*2</f>
        <v>0</v>
      </c>
      <c r="E13" s="8">
        <f>'June 2024 YTD'!E13*2</f>
        <v>0</v>
      </c>
      <c r="F13" s="8">
        <f>'June 2024 YTD'!F13*2</f>
        <v>0</v>
      </c>
      <c r="G13" s="8">
        <f>'June 2024 YTD'!G13*2</f>
        <v>0</v>
      </c>
      <c r="H13" s="8">
        <f>'June 2024 YTD'!H13*2</f>
        <v>0</v>
      </c>
      <c r="I13" s="8">
        <f>'June 2024 YTD'!I13*2</f>
        <v>0</v>
      </c>
      <c r="J13" s="8">
        <v>600000</v>
      </c>
      <c r="K13" s="8">
        <v>269325</v>
      </c>
      <c r="L13" s="8">
        <f>'June 2024 YTD'!L13*2</f>
        <v>0</v>
      </c>
      <c r="M13" s="8">
        <f>'June 2024 YTD'!M13*2</f>
        <v>0</v>
      </c>
      <c r="N13" s="8">
        <f>'June 2024 YTD'!N13*2</f>
        <v>0</v>
      </c>
      <c r="O13" s="8">
        <f>'June 2024 YTD'!O13*2</f>
        <v>0</v>
      </c>
      <c r="P13" s="8">
        <f>'June 2024 YTD'!P13*2</f>
        <v>0</v>
      </c>
      <c r="Q13" s="8">
        <f>'June 2024 YTD'!Q13*2</f>
        <v>0</v>
      </c>
      <c r="R13" s="8">
        <f>'June 2024 YTD'!R13*2</f>
        <v>0</v>
      </c>
      <c r="S13" s="8">
        <f>'June 2024 YTD'!S13*2</f>
        <v>0</v>
      </c>
      <c r="T13" s="8">
        <f>'June 2024 YTD'!T13*2</f>
        <v>0</v>
      </c>
      <c r="U13" s="8">
        <v>89750</v>
      </c>
      <c r="V13" s="8">
        <f>'June 2024 YTD'!V13*2</f>
        <v>68071</v>
      </c>
      <c r="W13" s="8">
        <v>78002</v>
      </c>
      <c r="X13" s="105">
        <v>96682.37</v>
      </c>
      <c r="Y13" s="8">
        <v>33792</v>
      </c>
      <c r="Z13" s="8">
        <v>65256</v>
      </c>
      <c r="AA13" s="8">
        <v>28700</v>
      </c>
      <c r="AB13" s="8">
        <v>205197.63</v>
      </c>
      <c r="AC13" s="8">
        <f>'June 2024 YTD'!AC13*2</f>
        <v>0</v>
      </c>
      <c r="AD13" s="8">
        <f>'June 2024 YTD'!AD13*2</f>
        <v>0</v>
      </c>
      <c r="AE13" s="8">
        <v>0</v>
      </c>
      <c r="AF13" s="8">
        <f>'June 2024 YTD'!AE13*2</f>
        <v>0</v>
      </c>
      <c r="AG13" s="8">
        <f>'June 2024 YTD'!AF13*2</f>
        <v>0</v>
      </c>
      <c r="AH13" s="8">
        <f>'June 2024 YTD'!AG13*2</f>
        <v>0</v>
      </c>
      <c r="AI13" s="8">
        <v>0</v>
      </c>
      <c r="AJ13" s="88">
        <v>0</v>
      </c>
      <c r="AK13" s="88">
        <v>0</v>
      </c>
      <c r="AL13" s="88">
        <v>0</v>
      </c>
      <c r="AM13" s="88">
        <v>0</v>
      </c>
      <c r="AN13" s="88">
        <v>0</v>
      </c>
      <c r="AO13" s="88">
        <v>0</v>
      </c>
      <c r="AP13" s="88">
        <v>0</v>
      </c>
      <c r="AQ13" s="8">
        <f>'June 2024 YTD'!AP13*2</f>
        <v>0</v>
      </c>
      <c r="AR13" s="8">
        <v>0</v>
      </c>
      <c r="AS13" s="88">
        <v>0</v>
      </c>
      <c r="AT13" s="8">
        <f>'June 2024 YTD'!AS13*2</f>
        <v>0</v>
      </c>
      <c r="AU13" s="88">
        <v>0</v>
      </c>
      <c r="AV13" s="88">
        <v>0</v>
      </c>
      <c r="AW13" s="8">
        <f>'June 2024 YTD'!AV13*2</f>
        <v>0</v>
      </c>
      <c r="AX13" s="8">
        <f>32910+26723</f>
        <v>59633</v>
      </c>
      <c r="AY13" s="88">
        <v>0</v>
      </c>
      <c r="AZ13" s="8">
        <v>271966</v>
      </c>
      <c r="BA13" s="8">
        <f>'June 2024 YTD'!AZ13*2</f>
        <v>0</v>
      </c>
      <c r="BB13" s="8">
        <f>'June 2024 YTD'!BA13*2</f>
        <v>0</v>
      </c>
      <c r="BC13" s="88">
        <v>0</v>
      </c>
      <c r="BD13" s="88">
        <v>0</v>
      </c>
      <c r="BE13" s="88">
        <v>0</v>
      </c>
      <c r="BF13" s="88">
        <v>0</v>
      </c>
      <c r="BG13" s="8">
        <f>'June 2024 YTD'!BF13*2</f>
        <v>0</v>
      </c>
      <c r="BH13" s="8">
        <f>'June 2024 YTD'!BG13*2</f>
        <v>0</v>
      </c>
      <c r="BI13" s="8">
        <f>'June 2024 YTD'!BH13*2</f>
        <v>0</v>
      </c>
      <c r="BJ13" s="8">
        <f>'June 2024 YTD'!BI13*2</f>
        <v>0</v>
      </c>
      <c r="BK13" s="8">
        <f>'June 2024 YTD'!BJ13*2</f>
        <v>0</v>
      </c>
      <c r="BL13" s="8">
        <f>'June 2024 YTD'!BK13*2</f>
        <v>0</v>
      </c>
      <c r="BM13" s="8">
        <f>'June 2024 YTD'!BL13*2</f>
        <v>0</v>
      </c>
      <c r="BN13" s="8">
        <f>'June 2024 YTD'!BM13*2</f>
        <v>0</v>
      </c>
      <c r="BO13" s="8">
        <f>1421435-105571</f>
        <v>1315864</v>
      </c>
      <c r="BP13" s="8">
        <v>72745</v>
      </c>
      <c r="BQ13" s="8">
        <v>350311</v>
      </c>
      <c r="BR13" s="8">
        <v>105571</v>
      </c>
      <c r="BS13" s="8">
        <v>4434346.0199999996</v>
      </c>
      <c r="BT13" s="8">
        <v>8832038</v>
      </c>
      <c r="BU13" s="8">
        <v>760178</v>
      </c>
      <c r="BV13" s="8">
        <f>'June 2024 YTD'!BU13*2</f>
        <v>0</v>
      </c>
      <c r="BW13" s="8">
        <f>'June 2024 YTD'!BV13*2</f>
        <v>0</v>
      </c>
      <c r="BX13" s="88">
        <v>0</v>
      </c>
      <c r="BY13" s="88">
        <v>0</v>
      </c>
      <c r="BZ13" s="88">
        <v>0</v>
      </c>
      <c r="CA13" s="8">
        <f t="shared" ref="CA13:CA16" si="0">SUM(B13:BZ13)</f>
        <v>17765118.02</v>
      </c>
    </row>
    <row r="14" spans="1:95">
      <c r="A14" s="78" t="s">
        <v>91</v>
      </c>
      <c r="B14" s="8">
        <f>'June 2024 YTD'!B14*2</f>
        <v>0</v>
      </c>
      <c r="C14" s="8">
        <f>'June 2024 YTD'!C14*2</f>
        <v>0</v>
      </c>
      <c r="D14" s="8">
        <f>'June 2024 YTD'!D14*2</f>
        <v>0</v>
      </c>
      <c r="E14" s="8">
        <f>'June 2024 YTD'!E14*2</f>
        <v>0</v>
      </c>
      <c r="F14" s="8">
        <f>'June 2024 YTD'!F14*2</f>
        <v>0</v>
      </c>
      <c r="G14" s="8">
        <f>'June 2024 YTD'!G14*2</f>
        <v>0</v>
      </c>
      <c r="H14" s="8">
        <f>'June 2024 YTD'!H14*2</f>
        <v>0</v>
      </c>
      <c r="I14" s="8">
        <f>'June 2024 YTD'!I14*2</f>
        <v>0</v>
      </c>
      <c r="J14" s="8">
        <f>'June 2024 YTD'!J14*2</f>
        <v>0</v>
      </c>
      <c r="K14" s="8">
        <f>'June 2024 YTD'!K14*2</f>
        <v>0</v>
      </c>
      <c r="L14" s="8">
        <f>'June 2024 YTD'!L14*2</f>
        <v>0</v>
      </c>
      <c r="M14" s="8">
        <f>'June 2024 YTD'!M14*2</f>
        <v>0</v>
      </c>
      <c r="N14" s="8">
        <f>'June 2024 YTD'!N14*2</f>
        <v>0</v>
      </c>
      <c r="O14" s="8">
        <f>'June 2024 YTD'!O14*2</f>
        <v>0</v>
      </c>
      <c r="P14" s="8">
        <f>'June 2024 YTD'!P14*2</f>
        <v>0</v>
      </c>
      <c r="Q14" s="8">
        <f>'June 2024 YTD'!Q14*2</f>
        <v>0</v>
      </c>
      <c r="R14" s="8">
        <f>'June 2024 YTD'!R14*2</f>
        <v>0</v>
      </c>
      <c r="S14" s="8">
        <f>'June 2024 YTD'!S14*2</f>
        <v>0</v>
      </c>
      <c r="T14" s="8">
        <f>'June 2024 YTD'!T14*2</f>
        <v>0</v>
      </c>
      <c r="U14" s="8">
        <f>'June 2024 YTD'!U14*2</f>
        <v>0</v>
      </c>
      <c r="V14" s="8">
        <f>'June 2024 YTD'!V14*2</f>
        <v>0</v>
      </c>
      <c r="W14" s="8">
        <f>'June 2024 YTD'!W14*2</f>
        <v>0</v>
      </c>
      <c r="X14" s="8">
        <f>'June 2024 YTD'!X14*2</f>
        <v>0</v>
      </c>
      <c r="Y14" s="8">
        <f>'June 2024 YTD'!Y14*2</f>
        <v>0</v>
      </c>
      <c r="Z14" s="8">
        <f>'June 2024 YTD'!Z14*2</f>
        <v>0</v>
      </c>
      <c r="AA14" s="8">
        <f>'June 2024 YTD'!AA14*2</f>
        <v>0</v>
      </c>
      <c r="AB14" s="8">
        <f>'June 2024 YTD'!AB14*2</f>
        <v>0</v>
      </c>
      <c r="AC14" s="8">
        <f>'June 2024 YTD'!AC14*2</f>
        <v>0</v>
      </c>
      <c r="AD14" s="8">
        <f>'June 2024 YTD'!AD14*2</f>
        <v>0</v>
      </c>
      <c r="AE14" s="8">
        <v>0</v>
      </c>
      <c r="AF14" s="8">
        <f>'June 2024 YTD'!AE14*2</f>
        <v>0</v>
      </c>
      <c r="AG14" s="8">
        <f>'June 2024 YTD'!AF14*2</f>
        <v>0</v>
      </c>
      <c r="AH14" s="8">
        <f>'June 2024 YTD'!AG14*2</f>
        <v>0</v>
      </c>
      <c r="AI14" s="8">
        <v>0</v>
      </c>
      <c r="AJ14" s="88">
        <v>0</v>
      </c>
      <c r="AK14" s="88">
        <v>0</v>
      </c>
      <c r="AL14" s="88">
        <v>0</v>
      </c>
      <c r="AM14" s="88">
        <v>0</v>
      </c>
      <c r="AN14" s="88">
        <v>0</v>
      </c>
      <c r="AO14" s="88">
        <v>0</v>
      </c>
      <c r="AP14" s="88">
        <v>0</v>
      </c>
      <c r="AQ14" s="8">
        <f>'June 2024 YTD'!AP14*2</f>
        <v>0</v>
      </c>
      <c r="AR14" s="8">
        <v>0</v>
      </c>
      <c r="AS14" s="88">
        <v>0</v>
      </c>
      <c r="AT14" s="8">
        <f>'June 2024 YTD'!AS14*2</f>
        <v>0</v>
      </c>
      <c r="AU14" s="88">
        <v>0</v>
      </c>
      <c r="AV14" s="88">
        <v>0</v>
      </c>
      <c r="AW14" s="8">
        <f>'June 2024 YTD'!AV14*2</f>
        <v>0</v>
      </c>
      <c r="AX14" s="8">
        <f>'June 2024 YTD'!AW14*2</f>
        <v>0</v>
      </c>
      <c r="AY14" s="88">
        <v>0</v>
      </c>
      <c r="AZ14" s="8">
        <f>'June 2024 YTD'!AY14*2</f>
        <v>0</v>
      </c>
      <c r="BA14" s="8">
        <f>'June 2024 YTD'!AZ14*2</f>
        <v>0</v>
      </c>
      <c r="BB14" s="8">
        <f>'June 2024 YTD'!BA14*2</f>
        <v>0</v>
      </c>
      <c r="BC14" s="88">
        <v>0</v>
      </c>
      <c r="BD14" s="88">
        <v>0</v>
      </c>
      <c r="BE14" s="88">
        <v>0</v>
      </c>
      <c r="BF14" s="88">
        <v>0</v>
      </c>
      <c r="BG14" s="8">
        <v>0</v>
      </c>
      <c r="BH14" s="8">
        <f>'June 2024 YTD'!BG14*2</f>
        <v>0</v>
      </c>
      <c r="BI14" s="93">
        <f>110000</f>
        <v>110000</v>
      </c>
      <c r="BJ14" s="8">
        <f>'June 2024 YTD'!BI14*2</f>
        <v>0</v>
      </c>
      <c r="BK14" s="8">
        <f>'June 2024 YTD'!BJ14*2</f>
        <v>0</v>
      </c>
      <c r="BL14" s="8">
        <f>'June 2024 YTD'!BK14*2</f>
        <v>0</v>
      </c>
      <c r="BM14" s="8">
        <f>'June 2024 YTD'!BL14*2</f>
        <v>0</v>
      </c>
      <c r="BN14" s="8">
        <f>'June 2024 YTD'!BM14*2</f>
        <v>0</v>
      </c>
      <c r="BO14" s="8">
        <f>'June 2024 YTD'!BN14*2</f>
        <v>0</v>
      </c>
      <c r="BP14" s="8">
        <f>'June 2024 YTD'!BO14*2</f>
        <v>0</v>
      </c>
      <c r="BQ14" s="8">
        <f>'June 2024 YTD'!BP14*2</f>
        <v>0</v>
      </c>
      <c r="BR14" s="8">
        <f>'June 2024 YTD'!BQ14*2</f>
        <v>0</v>
      </c>
      <c r="BS14" s="8">
        <f>'June 2024 YTD'!BR14*2</f>
        <v>0</v>
      </c>
      <c r="BT14" s="8">
        <f>'June 2024 YTD'!BS14*2</f>
        <v>0</v>
      </c>
      <c r="BU14" s="8">
        <f>'June 2024 YTD'!BT14*2</f>
        <v>0</v>
      </c>
      <c r="BV14" s="8">
        <f>'June 2024 YTD'!BU14*2</f>
        <v>0</v>
      </c>
      <c r="BW14" s="8">
        <f>'June 2024 YTD'!BV14*2</f>
        <v>0</v>
      </c>
      <c r="BX14" s="88">
        <v>0</v>
      </c>
      <c r="BY14" s="88">
        <v>0</v>
      </c>
      <c r="BZ14" s="88">
        <v>0</v>
      </c>
      <c r="CA14" s="8">
        <f t="shared" si="0"/>
        <v>110000</v>
      </c>
    </row>
    <row r="15" spans="1:95">
      <c r="A15" s="78" t="s">
        <v>92</v>
      </c>
      <c r="B15" s="8">
        <f>'June 2024 YTD'!B15*2</f>
        <v>0</v>
      </c>
      <c r="C15" s="8">
        <f>'June 2024 YTD'!C15*2</f>
        <v>0</v>
      </c>
      <c r="D15" s="8">
        <f>'June 2024 YTD'!D15*2</f>
        <v>0</v>
      </c>
      <c r="E15" s="8">
        <f>'June 2024 YTD'!E15*2</f>
        <v>0</v>
      </c>
      <c r="F15" s="8">
        <f>'June 2024 YTD'!F15*2</f>
        <v>0</v>
      </c>
      <c r="G15" s="8">
        <f>'June 2024 YTD'!G15*2</f>
        <v>0</v>
      </c>
      <c r="H15" s="8">
        <f>'June 2024 YTD'!H15*2</f>
        <v>0</v>
      </c>
      <c r="I15" s="8">
        <f>'June 2024 YTD'!I15*2</f>
        <v>0</v>
      </c>
      <c r="J15" s="8">
        <f>'June 2024 YTD'!J15*2</f>
        <v>0</v>
      </c>
      <c r="K15" s="8">
        <f>'June 2024 YTD'!K15*2</f>
        <v>0</v>
      </c>
      <c r="L15" s="8">
        <f>'June 2024 YTD'!L15*2</f>
        <v>0</v>
      </c>
      <c r="M15" s="8">
        <f>'June 2024 YTD'!M15*2</f>
        <v>0</v>
      </c>
      <c r="N15" s="8">
        <f>'June 2024 YTD'!N15*2</f>
        <v>0</v>
      </c>
      <c r="O15" s="8">
        <f>'June 2024 YTD'!O15*2</f>
        <v>0</v>
      </c>
      <c r="P15" s="8">
        <f>'June 2024 YTD'!P15*2</f>
        <v>0</v>
      </c>
      <c r="Q15" s="8">
        <f>'June 2024 YTD'!Q15*2</f>
        <v>0</v>
      </c>
      <c r="R15" s="8">
        <f>'June 2024 YTD'!R15*2</f>
        <v>0</v>
      </c>
      <c r="S15" s="8">
        <f>'June 2024 YTD'!S15*2</f>
        <v>0</v>
      </c>
      <c r="T15" s="8">
        <f>'June 2024 YTD'!T15*2</f>
        <v>0</v>
      </c>
      <c r="U15" s="8">
        <f>'June 2024 YTD'!U15*2</f>
        <v>0</v>
      </c>
      <c r="V15" s="8">
        <f>'June 2024 YTD'!V15*2</f>
        <v>0</v>
      </c>
      <c r="W15" s="8">
        <f>'June 2024 YTD'!W15*2</f>
        <v>0</v>
      </c>
      <c r="X15" s="8">
        <f>'June 2024 YTD'!X15*2</f>
        <v>0</v>
      </c>
      <c r="Y15" s="8">
        <f>'June 2024 YTD'!Y15*2</f>
        <v>0</v>
      </c>
      <c r="Z15" s="8">
        <f>'June 2024 YTD'!Z15*2</f>
        <v>0</v>
      </c>
      <c r="AA15" s="8">
        <f>'June 2024 YTD'!AA15*2</f>
        <v>0</v>
      </c>
      <c r="AB15" s="8">
        <f>'June 2024 YTD'!AB15*2</f>
        <v>0</v>
      </c>
      <c r="AC15" s="8">
        <f>'June 2024 YTD'!AC15*2</f>
        <v>0</v>
      </c>
      <c r="AD15" s="8">
        <f>'June 2024 YTD'!AD15*2</f>
        <v>0</v>
      </c>
      <c r="AE15" s="8">
        <v>0</v>
      </c>
      <c r="AF15" s="8">
        <f>'June 2024 YTD'!AE15*2</f>
        <v>0</v>
      </c>
      <c r="AG15" s="8">
        <f>('June 2024 YTD'!AF15*2)*1.03</f>
        <v>588488.44000000006</v>
      </c>
      <c r="AH15" s="8">
        <f>('June 2024 YTD'!AG15*2)*1.03</f>
        <v>228163.54</v>
      </c>
      <c r="AI15" s="8">
        <v>0</v>
      </c>
      <c r="AJ15" s="88">
        <v>0</v>
      </c>
      <c r="AK15" s="88">
        <v>0</v>
      </c>
      <c r="AL15" s="88">
        <v>0</v>
      </c>
      <c r="AM15" s="88">
        <v>0</v>
      </c>
      <c r="AN15" s="88">
        <v>0</v>
      </c>
      <c r="AO15" s="88">
        <v>0</v>
      </c>
      <c r="AP15" s="88">
        <v>0</v>
      </c>
      <c r="AQ15" s="8">
        <f>'June 2024 YTD'!AP15*2</f>
        <v>0</v>
      </c>
      <c r="AR15" s="8">
        <v>0</v>
      </c>
      <c r="AS15" s="88">
        <v>0</v>
      </c>
      <c r="AT15" s="8">
        <f>'June 2024 YTD'!AS15*2</f>
        <v>0</v>
      </c>
      <c r="AU15" s="88">
        <v>0</v>
      </c>
      <c r="AV15" s="88">
        <v>0</v>
      </c>
      <c r="AW15" s="8">
        <f>'June 2024 YTD'!AV15*2</f>
        <v>0</v>
      </c>
      <c r="AX15" s="8">
        <f>'June 2024 YTD'!AW15*2</f>
        <v>0</v>
      </c>
      <c r="AY15" s="88">
        <v>0</v>
      </c>
      <c r="AZ15" s="8">
        <f>'June 2024 YTD'!AY15*2</f>
        <v>0</v>
      </c>
      <c r="BA15" s="8">
        <f>'June 2024 YTD'!AZ15*2</f>
        <v>0</v>
      </c>
      <c r="BB15" s="8">
        <f>'June 2024 YTD'!BA15*2</f>
        <v>0</v>
      </c>
      <c r="BC15" s="88">
        <v>0</v>
      </c>
      <c r="BD15" s="88">
        <v>0</v>
      </c>
      <c r="BE15" s="88">
        <v>0</v>
      </c>
      <c r="BF15" s="88">
        <v>0</v>
      </c>
      <c r="BG15" s="8">
        <f>'June 2024 YTD'!BF15*2</f>
        <v>0</v>
      </c>
      <c r="BH15" s="8">
        <f>'June 2024 YTD'!BG15*2</f>
        <v>0</v>
      </c>
      <c r="BI15" s="8">
        <f>'June 2024 YTD'!BH15*2</f>
        <v>0</v>
      </c>
      <c r="BJ15" s="8">
        <f>'June 2024 YTD'!BI15*2</f>
        <v>0</v>
      </c>
      <c r="BK15" s="8">
        <f>'June 2024 YTD'!BJ15*2</f>
        <v>0</v>
      </c>
      <c r="BL15" s="8">
        <f>'June 2024 YTD'!BK15*2</f>
        <v>0</v>
      </c>
      <c r="BM15" s="8">
        <f>'June 2024 YTD'!BL15*2</f>
        <v>0</v>
      </c>
      <c r="BN15" s="8">
        <f>'June 2024 YTD'!BM15*2</f>
        <v>0</v>
      </c>
      <c r="BO15" s="8">
        <f>'June 2024 YTD'!BN15*2</f>
        <v>0</v>
      </c>
      <c r="BP15" s="8">
        <f>'June 2024 YTD'!BO15*2</f>
        <v>0</v>
      </c>
      <c r="BQ15" s="8">
        <f>'June 2024 YTD'!BP15*2</f>
        <v>0</v>
      </c>
      <c r="BR15" s="8">
        <f>'June 2024 YTD'!BQ15*2</f>
        <v>0</v>
      </c>
      <c r="BS15" s="8">
        <f>'June 2024 YTD'!BR15*2</f>
        <v>0</v>
      </c>
      <c r="BT15" s="8">
        <f>'June 2024 YTD'!BS15*2</f>
        <v>0</v>
      </c>
      <c r="BU15" s="8">
        <f>'June 2024 YTD'!BT15*2</f>
        <v>0</v>
      </c>
      <c r="BV15" s="8">
        <f>'June 2024 YTD'!BU15*2</f>
        <v>0</v>
      </c>
      <c r="BW15" s="8">
        <f>'June 2024 YTD'!BV15*2</f>
        <v>0</v>
      </c>
      <c r="BX15" s="88">
        <v>0</v>
      </c>
      <c r="BY15" s="88">
        <v>0</v>
      </c>
      <c r="BZ15" s="88">
        <v>0</v>
      </c>
      <c r="CA15" s="8">
        <f t="shared" si="0"/>
        <v>816651.9800000001</v>
      </c>
    </row>
    <row r="16" spans="1:95">
      <c r="A16" s="78" t="s">
        <v>93</v>
      </c>
      <c r="B16" s="8">
        <f>'June 2024 YTD'!B16*2</f>
        <v>0</v>
      </c>
      <c r="C16" s="8">
        <f>'June 2024 YTD'!C16*2</f>
        <v>0</v>
      </c>
      <c r="D16" s="8">
        <f>'June 2024 YTD'!D16*2</f>
        <v>0</v>
      </c>
      <c r="E16" s="8">
        <f>'June 2024 YTD'!E16*2</f>
        <v>0</v>
      </c>
      <c r="F16" s="8">
        <f>'June 2024 YTD'!F16*2</f>
        <v>0</v>
      </c>
      <c r="G16" s="8">
        <f>'June 2024 YTD'!G16*2</f>
        <v>0</v>
      </c>
      <c r="H16" s="8">
        <f>'June 2024 YTD'!H16*2</f>
        <v>0</v>
      </c>
      <c r="I16" s="8">
        <f>'June 2024 YTD'!I16*2</f>
        <v>0</v>
      </c>
      <c r="J16" s="8">
        <f>'June 2024 YTD'!J16*2</f>
        <v>0</v>
      </c>
      <c r="K16" s="8">
        <f>'June 2024 YTD'!K16*2</f>
        <v>0</v>
      </c>
      <c r="L16" s="8">
        <f>'June 2024 YTD'!L16*2</f>
        <v>0</v>
      </c>
      <c r="M16" s="8">
        <f>'June 2024 YTD'!M16*2</f>
        <v>0</v>
      </c>
      <c r="N16" s="8">
        <f>'June 2024 YTD'!N16*2</f>
        <v>0</v>
      </c>
      <c r="O16" s="8">
        <f>'June 2024 YTD'!O16*2</f>
        <v>0</v>
      </c>
      <c r="P16" s="8">
        <f>'June 2024 YTD'!P16*2</f>
        <v>0</v>
      </c>
      <c r="Q16" s="8">
        <f>'June 2024 YTD'!Q16*2</f>
        <v>0</v>
      </c>
      <c r="R16" s="8">
        <f>'June 2024 YTD'!R16*2</f>
        <v>0</v>
      </c>
      <c r="S16" s="8">
        <f>'June 2024 YTD'!S16*2</f>
        <v>0</v>
      </c>
      <c r="T16" s="8">
        <f>'June 2024 YTD'!T16*2</f>
        <v>0</v>
      </c>
      <c r="U16" s="8">
        <f>'June 2024 YTD'!U16*2</f>
        <v>0</v>
      </c>
      <c r="V16" s="8">
        <f>'June 2024 YTD'!V16*2</f>
        <v>0</v>
      </c>
      <c r="W16" s="8">
        <f>'June 2024 YTD'!W16*2</f>
        <v>0</v>
      </c>
      <c r="X16" s="8">
        <f>'June 2024 YTD'!X16*2</f>
        <v>0</v>
      </c>
      <c r="Y16" s="8">
        <f>'June 2024 YTD'!Y16*2</f>
        <v>0</v>
      </c>
      <c r="Z16" s="8">
        <f>'June 2024 YTD'!Z16*2</f>
        <v>0</v>
      </c>
      <c r="AA16" s="8">
        <f>'June 2024 YTD'!AA16*2</f>
        <v>0</v>
      </c>
      <c r="AB16" s="8">
        <f>'June 2024 YTD'!AB16*2</f>
        <v>0</v>
      </c>
      <c r="AC16" s="8">
        <f>'June 2024 YTD'!AC16*2</f>
        <v>0</v>
      </c>
      <c r="AD16" s="8">
        <f>'June 2024 YTD'!AD16*2</f>
        <v>0</v>
      </c>
      <c r="AE16" s="8">
        <v>0</v>
      </c>
      <c r="AF16" s="8">
        <f>'June 2024 YTD'!AE16*2</f>
        <v>0</v>
      </c>
      <c r="AG16" s="8">
        <f>('June 2024 YTD'!AF16*2)*1.03</f>
        <v>29931.8</v>
      </c>
      <c r="AH16" s="8">
        <f>('June 2024 YTD'!AG16*2)*1.03</f>
        <v>8001.04</v>
      </c>
      <c r="AI16" s="8">
        <v>0</v>
      </c>
      <c r="AJ16" s="88">
        <v>0</v>
      </c>
      <c r="AK16" s="88">
        <v>0</v>
      </c>
      <c r="AL16" s="88">
        <v>0</v>
      </c>
      <c r="AM16" s="88">
        <v>0</v>
      </c>
      <c r="AN16" s="88">
        <v>0</v>
      </c>
      <c r="AO16" s="88">
        <v>0</v>
      </c>
      <c r="AP16" s="88">
        <v>0</v>
      </c>
      <c r="AQ16" s="8">
        <f>'June 2024 YTD'!AP16*2</f>
        <v>0</v>
      </c>
      <c r="AR16" s="8">
        <v>0</v>
      </c>
      <c r="AS16" s="88">
        <v>0</v>
      </c>
      <c r="AT16" s="8">
        <f>'June 2024 YTD'!AS16*2</f>
        <v>0</v>
      </c>
      <c r="AU16" s="88">
        <v>0</v>
      </c>
      <c r="AV16" s="88">
        <v>0</v>
      </c>
      <c r="AW16" s="8">
        <f>'June 2024 YTD'!AV16*2</f>
        <v>0</v>
      </c>
      <c r="AX16" s="8">
        <f>'June 2024 YTD'!AW16*2</f>
        <v>0</v>
      </c>
      <c r="AY16" s="88">
        <v>0</v>
      </c>
      <c r="AZ16" s="8">
        <f>'June 2024 YTD'!AY16*2</f>
        <v>0</v>
      </c>
      <c r="BA16" s="8">
        <f>'June 2024 YTD'!AZ16*2</f>
        <v>0</v>
      </c>
      <c r="BB16" s="8">
        <f>'June 2024 YTD'!BA16*2</f>
        <v>0</v>
      </c>
      <c r="BC16" s="88">
        <v>0</v>
      </c>
      <c r="BD16" s="88">
        <v>0</v>
      </c>
      <c r="BE16" s="88">
        <v>0</v>
      </c>
      <c r="BF16" s="88">
        <v>0</v>
      </c>
      <c r="BG16" s="8">
        <f>'June 2024 YTD'!BF16*2</f>
        <v>0</v>
      </c>
      <c r="BH16" s="8">
        <f>'June 2024 YTD'!BG16*2</f>
        <v>0</v>
      </c>
      <c r="BI16" s="8">
        <f>'June 2024 YTD'!BH16*2</f>
        <v>0</v>
      </c>
      <c r="BJ16" s="8">
        <f>'June 2024 YTD'!BI16*2</f>
        <v>0</v>
      </c>
      <c r="BK16" s="8">
        <f>'June 2024 YTD'!BJ16*2</f>
        <v>0</v>
      </c>
      <c r="BL16" s="8">
        <f>'June 2024 YTD'!BK16*2</f>
        <v>0</v>
      </c>
      <c r="BM16" s="8">
        <f>'June 2024 YTD'!BL16*2</f>
        <v>0</v>
      </c>
      <c r="BN16" s="8">
        <f>'June 2024 YTD'!BM16*2</f>
        <v>0</v>
      </c>
      <c r="BO16" s="8">
        <f>'June 2024 YTD'!BN16*2</f>
        <v>0</v>
      </c>
      <c r="BP16" s="8">
        <f>'June 2024 YTD'!BO16*2</f>
        <v>0</v>
      </c>
      <c r="BQ16" s="8">
        <f>'June 2024 YTD'!BP16*2</f>
        <v>0</v>
      </c>
      <c r="BR16" s="8">
        <f>'June 2024 YTD'!BQ16*2</f>
        <v>0</v>
      </c>
      <c r="BS16" s="8">
        <f>'June 2024 YTD'!BR16*2</f>
        <v>0</v>
      </c>
      <c r="BT16" s="8">
        <f>'June 2024 YTD'!BS16*2</f>
        <v>0</v>
      </c>
      <c r="BU16" s="8">
        <f>'June 2024 YTD'!BT16*2</f>
        <v>0</v>
      </c>
      <c r="BV16" s="8">
        <f>'June 2024 YTD'!BU16*2</f>
        <v>0</v>
      </c>
      <c r="BW16" s="8">
        <f>'June 2024 YTD'!BV16*2</f>
        <v>0</v>
      </c>
      <c r="BX16" s="88">
        <v>0</v>
      </c>
      <c r="BY16" s="88">
        <v>0</v>
      </c>
      <c r="BZ16" s="88">
        <v>0</v>
      </c>
      <c r="CA16" s="8">
        <f t="shared" si="0"/>
        <v>37932.839999999997</v>
      </c>
    </row>
    <row r="17" spans="1:79">
      <c r="A17" s="9" t="s">
        <v>94</v>
      </c>
      <c r="B17" s="10">
        <f t="shared" ref="B17:BN17" si="1">SUM(B12:B16)</f>
        <v>0</v>
      </c>
      <c r="C17" s="10">
        <f t="shared" si="1"/>
        <v>934239</v>
      </c>
      <c r="D17" s="10">
        <f t="shared" si="1"/>
        <v>580730</v>
      </c>
      <c r="E17" s="10">
        <f t="shared" si="1"/>
        <v>107516</v>
      </c>
      <c r="F17" s="10">
        <f t="shared" si="1"/>
        <v>112110</v>
      </c>
      <c r="G17" s="10">
        <f t="shared" si="1"/>
        <v>65327</v>
      </c>
      <c r="H17" s="10">
        <f t="shared" si="1"/>
        <v>175623</v>
      </c>
      <c r="I17" s="10">
        <f t="shared" si="1"/>
        <v>282800</v>
      </c>
      <c r="J17" s="10">
        <f t="shared" si="1"/>
        <v>600000</v>
      </c>
      <c r="K17" s="10">
        <f t="shared" si="1"/>
        <v>269325</v>
      </c>
      <c r="L17" s="10">
        <f t="shared" si="1"/>
        <v>47276</v>
      </c>
      <c r="M17" s="10">
        <f t="shared" si="1"/>
        <v>184806.75</v>
      </c>
      <c r="N17" s="10">
        <f t="shared" si="1"/>
        <v>348599.91</v>
      </c>
      <c r="O17" s="10">
        <f t="shared" si="1"/>
        <v>80847.64</v>
      </c>
      <c r="P17" s="10">
        <f t="shared" si="1"/>
        <v>9049</v>
      </c>
      <c r="Q17" s="10">
        <f t="shared" si="1"/>
        <v>9240</v>
      </c>
      <c r="R17" s="10">
        <f t="shared" si="1"/>
        <v>9884</v>
      </c>
      <c r="S17" s="10">
        <f t="shared" si="1"/>
        <v>21266.91</v>
      </c>
      <c r="T17" s="10">
        <f t="shared" si="1"/>
        <v>53996</v>
      </c>
      <c r="U17" s="10">
        <f t="shared" si="1"/>
        <v>89750</v>
      </c>
      <c r="V17" s="10">
        <f t="shared" si="1"/>
        <v>68071</v>
      </c>
      <c r="W17" s="10">
        <f t="shared" si="1"/>
        <v>78002</v>
      </c>
      <c r="X17" s="10">
        <f t="shared" si="1"/>
        <v>193364.74</v>
      </c>
      <c r="Y17" s="10">
        <f t="shared" si="1"/>
        <v>33792</v>
      </c>
      <c r="Z17" s="10">
        <f t="shared" si="1"/>
        <v>65256</v>
      </c>
      <c r="AA17" s="10">
        <f t="shared" si="1"/>
        <v>28700</v>
      </c>
      <c r="AB17" s="10">
        <f t="shared" si="1"/>
        <v>410395.26</v>
      </c>
      <c r="AC17" s="10">
        <f t="shared" si="1"/>
        <v>12000</v>
      </c>
      <c r="AD17" s="10">
        <f t="shared" si="1"/>
        <v>5000</v>
      </c>
      <c r="AE17" s="10">
        <f t="shared" ref="AE17" si="2">SUM(AE12:AE16)</f>
        <v>13772</v>
      </c>
      <c r="AF17" s="10">
        <f t="shared" si="1"/>
        <v>0</v>
      </c>
      <c r="AG17" s="10">
        <f t="shared" si="1"/>
        <v>3195207.6195999999</v>
      </c>
      <c r="AH17" s="10">
        <f t="shared" si="1"/>
        <v>1282279.1978</v>
      </c>
      <c r="AI17" s="10">
        <f t="shared" si="1"/>
        <v>0</v>
      </c>
      <c r="AJ17" s="89">
        <f t="shared" si="1"/>
        <v>0</v>
      </c>
      <c r="AK17" s="89">
        <f t="shared" si="1"/>
        <v>0</v>
      </c>
      <c r="AL17" s="89">
        <f t="shared" si="1"/>
        <v>0</v>
      </c>
      <c r="AM17" s="89">
        <f t="shared" si="1"/>
        <v>0</v>
      </c>
      <c r="AN17" s="89">
        <f t="shared" si="1"/>
        <v>0</v>
      </c>
      <c r="AO17" s="89">
        <f t="shared" si="1"/>
        <v>0</v>
      </c>
      <c r="AP17" s="89">
        <f t="shared" si="1"/>
        <v>0</v>
      </c>
      <c r="AQ17" s="10">
        <f t="shared" si="1"/>
        <v>36869</v>
      </c>
      <c r="AR17" s="10">
        <f t="shared" si="1"/>
        <v>0</v>
      </c>
      <c r="AS17" s="89">
        <f t="shared" si="1"/>
        <v>0</v>
      </c>
      <c r="AT17" s="10">
        <f t="shared" si="1"/>
        <v>8285</v>
      </c>
      <c r="AU17" s="89">
        <f t="shared" si="1"/>
        <v>0</v>
      </c>
      <c r="AV17" s="89">
        <f t="shared" si="1"/>
        <v>0</v>
      </c>
      <c r="AW17" s="10">
        <f t="shared" si="1"/>
        <v>199780</v>
      </c>
      <c r="AX17" s="10">
        <f t="shared" si="1"/>
        <v>59633</v>
      </c>
      <c r="AY17" s="89">
        <f t="shared" si="1"/>
        <v>0</v>
      </c>
      <c r="AZ17" s="10">
        <f t="shared" si="1"/>
        <v>271966</v>
      </c>
      <c r="BA17" s="10">
        <f t="shared" si="1"/>
        <v>0</v>
      </c>
      <c r="BB17" s="10">
        <f t="shared" si="1"/>
        <v>0</v>
      </c>
      <c r="BC17" s="89">
        <f t="shared" si="1"/>
        <v>0</v>
      </c>
      <c r="BD17" s="89">
        <f t="shared" si="1"/>
        <v>0</v>
      </c>
      <c r="BE17" s="89">
        <f t="shared" si="1"/>
        <v>0</v>
      </c>
      <c r="BF17" s="89">
        <f t="shared" si="1"/>
        <v>0</v>
      </c>
      <c r="BG17" s="10">
        <f t="shared" si="1"/>
        <v>0</v>
      </c>
      <c r="BH17" s="10">
        <f t="shared" si="1"/>
        <v>0</v>
      </c>
      <c r="BI17" s="10">
        <f t="shared" si="1"/>
        <v>110000</v>
      </c>
      <c r="BJ17" s="10">
        <f t="shared" si="1"/>
        <v>1946621</v>
      </c>
      <c r="BK17" s="10">
        <f t="shared" si="1"/>
        <v>720231</v>
      </c>
      <c r="BL17" s="10">
        <f t="shared" si="1"/>
        <v>2988687</v>
      </c>
      <c r="BM17" s="10">
        <f t="shared" si="1"/>
        <v>34900</v>
      </c>
      <c r="BN17" s="10">
        <f t="shared" si="1"/>
        <v>634124</v>
      </c>
      <c r="BO17" s="10">
        <f t="shared" ref="BO17:CA17" si="3">SUM(BO12:BO16)</f>
        <v>1315864</v>
      </c>
      <c r="BP17" s="10">
        <f t="shared" si="3"/>
        <v>72745</v>
      </c>
      <c r="BQ17" s="10">
        <f t="shared" si="3"/>
        <v>350311</v>
      </c>
      <c r="BR17" s="10">
        <f t="shared" si="3"/>
        <v>105571</v>
      </c>
      <c r="BS17" s="10">
        <f t="shared" si="3"/>
        <v>4434346.0199999996</v>
      </c>
      <c r="BT17" s="10">
        <f t="shared" si="3"/>
        <v>8832038</v>
      </c>
      <c r="BU17" s="10">
        <f t="shared" si="3"/>
        <v>760178</v>
      </c>
      <c r="BV17" s="10">
        <f t="shared" si="3"/>
        <v>256925</v>
      </c>
      <c r="BW17" s="10">
        <f t="shared" si="3"/>
        <v>460917</v>
      </c>
      <c r="BX17" s="89">
        <f t="shared" si="3"/>
        <v>0</v>
      </c>
      <c r="BY17" s="89">
        <f t="shared" si="3"/>
        <v>0</v>
      </c>
      <c r="BZ17" s="89">
        <f t="shared" si="3"/>
        <v>0</v>
      </c>
      <c r="CA17" s="10">
        <f t="shared" si="3"/>
        <v>32968217.047400001</v>
      </c>
    </row>
    <row r="18" spans="1:79">
      <c r="A18" s="6" t="s">
        <v>95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87"/>
      <c r="AK18" s="87"/>
      <c r="AL18" s="87"/>
      <c r="AM18" s="87"/>
      <c r="AN18" s="87"/>
      <c r="AO18" s="87"/>
      <c r="AP18" s="87"/>
      <c r="AQ18" s="4"/>
      <c r="AR18" s="4"/>
      <c r="AS18" s="87"/>
      <c r="AT18" s="4"/>
      <c r="AU18" s="87"/>
      <c r="AV18" s="87"/>
      <c r="AW18" s="4"/>
      <c r="AX18" s="4"/>
      <c r="AY18" s="87"/>
      <c r="AZ18" s="4"/>
      <c r="BA18" s="4"/>
      <c r="BB18" s="4"/>
      <c r="BC18" s="87"/>
      <c r="BD18" s="87"/>
      <c r="BE18" s="87"/>
      <c r="BF18" s="87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87"/>
      <c r="BY18" s="87"/>
      <c r="BZ18" s="87"/>
      <c r="CA18" s="4"/>
    </row>
    <row r="19" spans="1:79">
      <c r="A19" s="78" t="s">
        <v>96</v>
      </c>
      <c r="B19" s="8">
        <f>'June 2024 YTD'!B19*2</f>
        <v>0</v>
      </c>
      <c r="C19" s="8">
        <f>'June 2024 YTD'!C19*2</f>
        <v>0</v>
      </c>
      <c r="D19" s="8">
        <f>'June 2024 YTD'!D19*2</f>
        <v>0</v>
      </c>
      <c r="E19" s="8">
        <f>'June 2024 YTD'!E19*2-600</f>
        <v>0</v>
      </c>
      <c r="F19" s="8">
        <f>'June 2024 YTD'!F19*2</f>
        <v>0</v>
      </c>
      <c r="G19" s="8">
        <f>'June 2024 YTD'!G19*2</f>
        <v>0</v>
      </c>
      <c r="H19" s="8">
        <f>'June 2024 YTD'!H19*2</f>
        <v>0</v>
      </c>
      <c r="I19" s="8">
        <f>'June 2024 YTD'!I19*2</f>
        <v>0</v>
      </c>
      <c r="J19" s="8">
        <f>'June 2024 YTD'!J19*2</f>
        <v>0</v>
      </c>
      <c r="K19" s="8">
        <f>'June 2024 YTD'!K19*2</f>
        <v>0</v>
      </c>
      <c r="L19" s="8">
        <f>'June 2024 YTD'!L19*2</f>
        <v>0</v>
      </c>
      <c r="M19" s="8">
        <f>'June 2024 YTD'!M19*2</f>
        <v>0</v>
      </c>
      <c r="N19" s="8">
        <f>'June 2024 YTD'!N19*2-20</f>
        <v>0</v>
      </c>
      <c r="O19" s="8">
        <f>'June 2024 YTD'!O19*2</f>
        <v>0</v>
      </c>
      <c r="P19" s="8">
        <f>'June 2024 YTD'!P19*2</f>
        <v>0</v>
      </c>
      <c r="Q19" s="8">
        <f>'June 2024 YTD'!Q19*2</f>
        <v>0</v>
      </c>
      <c r="R19" s="8">
        <f>'June 2024 YTD'!R19*2</f>
        <v>0</v>
      </c>
      <c r="S19" s="8">
        <f>'June 2024 YTD'!S19*2</f>
        <v>0</v>
      </c>
      <c r="T19" s="8">
        <f>'June 2024 YTD'!T19*2</f>
        <v>0</v>
      </c>
      <c r="U19" s="8">
        <f>'June 2024 YTD'!U19*2</f>
        <v>0</v>
      </c>
      <c r="V19" s="8">
        <f>'June 2024 YTD'!V19*2</f>
        <v>0</v>
      </c>
      <c r="W19" s="8">
        <f>'June 2024 YTD'!W19*2</f>
        <v>0</v>
      </c>
      <c r="X19" s="8">
        <f>'June 2024 YTD'!X19*2</f>
        <v>0</v>
      </c>
      <c r="Y19" s="8">
        <f>'June 2024 YTD'!Y19*2</f>
        <v>0</v>
      </c>
      <c r="Z19" s="8">
        <f>'June 2024 YTD'!Z19*2</f>
        <v>0</v>
      </c>
      <c r="AA19" s="8">
        <f>'June 2024 YTD'!AA19*2</f>
        <v>0</v>
      </c>
      <c r="AB19" s="8">
        <f>'June 2024 YTD'!AB19*2</f>
        <v>0</v>
      </c>
      <c r="AC19" s="8">
        <f>'June 2024 YTD'!AC19*2</f>
        <v>0</v>
      </c>
      <c r="AD19" s="8">
        <f>'June 2024 YTD'!AD19*2</f>
        <v>0</v>
      </c>
      <c r="AE19" s="8">
        <v>0</v>
      </c>
      <c r="AF19" s="8">
        <f>('June 2024 YTD'!AE19*2)*1.03</f>
        <v>7519</v>
      </c>
      <c r="AG19" s="8">
        <f>'June 2024 YTD'!AF19*2</f>
        <v>0</v>
      </c>
      <c r="AH19" s="8">
        <f>'June 2024 YTD'!AG19*2</f>
        <v>0</v>
      </c>
      <c r="AI19" s="8">
        <v>0</v>
      </c>
      <c r="AJ19" s="88">
        <v>0</v>
      </c>
      <c r="AK19" s="88">
        <v>0</v>
      </c>
      <c r="AL19" s="88">
        <v>0</v>
      </c>
      <c r="AM19" s="88">
        <v>0</v>
      </c>
      <c r="AN19" s="88">
        <v>0</v>
      </c>
      <c r="AO19" s="88">
        <v>0</v>
      </c>
      <c r="AP19" s="88">
        <v>0</v>
      </c>
      <c r="AQ19" s="8">
        <f>'June 2024 YTD'!AP19*2</f>
        <v>0</v>
      </c>
      <c r="AR19" s="8">
        <f>'June 2024 YTD'!AQ19*2</f>
        <v>3900</v>
      </c>
      <c r="AS19" s="88">
        <v>0</v>
      </c>
      <c r="AT19" s="8">
        <f>'June 2024 YTD'!AS19*2</f>
        <v>0</v>
      </c>
      <c r="AU19" s="88">
        <v>0</v>
      </c>
      <c r="AV19" s="88">
        <v>0</v>
      </c>
      <c r="AW19" s="8">
        <f>'June 2024 YTD'!AV19*2-66000</f>
        <v>0</v>
      </c>
      <c r="AX19" s="8">
        <f>'June 2024 YTD'!AW19*2</f>
        <v>0</v>
      </c>
      <c r="AY19" s="88">
        <v>0</v>
      </c>
      <c r="AZ19" s="8">
        <f>'June 2024 YTD'!AY19*2</f>
        <v>0</v>
      </c>
      <c r="BA19" s="8">
        <f>'June 2024 YTD'!AZ19*2</f>
        <v>0</v>
      </c>
      <c r="BB19" s="8">
        <f>'June 2024 YTD'!BA19*2</f>
        <v>0</v>
      </c>
      <c r="BC19" s="88">
        <v>0</v>
      </c>
      <c r="BD19" s="88">
        <v>0</v>
      </c>
      <c r="BE19" s="88">
        <v>0</v>
      </c>
      <c r="BF19" s="88">
        <v>0</v>
      </c>
      <c r="BG19" s="8">
        <f>'June 2024 YTD'!BF19*2</f>
        <v>0</v>
      </c>
      <c r="BH19" s="8">
        <f>'June 2024 YTD'!BG19*2</f>
        <v>0</v>
      </c>
      <c r="BI19" s="8">
        <f>'June 2024 YTD'!BH19*2</f>
        <v>0</v>
      </c>
      <c r="BJ19" s="8">
        <f>'June 2024 YTD'!BI19*2</f>
        <v>0</v>
      </c>
      <c r="BK19" s="8">
        <f>'June 2024 YTD'!BJ19*2</f>
        <v>0</v>
      </c>
      <c r="BL19" s="8">
        <f>'June 2024 YTD'!BK19*2</f>
        <v>0</v>
      </c>
      <c r="BM19" s="8">
        <f>'June 2024 YTD'!BL19*2</f>
        <v>0</v>
      </c>
      <c r="BN19" s="8">
        <f>'June 2024 YTD'!BM19*2</f>
        <v>0</v>
      </c>
      <c r="BO19" s="8">
        <f>'June 2024 YTD'!BN19*2</f>
        <v>0</v>
      </c>
      <c r="BP19" s="8">
        <f>'June 2024 YTD'!BO19*2</f>
        <v>0</v>
      </c>
      <c r="BQ19" s="8">
        <f>'June 2024 YTD'!BP19*2</f>
        <v>0</v>
      </c>
      <c r="BR19" s="8">
        <f>'June 2024 YTD'!BQ19*2</f>
        <v>0</v>
      </c>
      <c r="BS19" s="8">
        <f>'June 2024 YTD'!BR19*2</f>
        <v>0</v>
      </c>
      <c r="BT19" s="8">
        <f>'June 2024 YTD'!BS19*2</f>
        <v>0</v>
      </c>
      <c r="BU19" s="8">
        <f>'June 2024 YTD'!BT19*2</f>
        <v>0</v>
      </c>
      <c r="BV19" s="8">
        <f>'June 2024 YTD'!BU19*2</f>
        <v>0</v>
      </c>
      <c r="BW19" s="8">
        <f>'June 2024 YTD'!BV19*2</f>
        <v>0</v>
      </c>
      <c r="BX19" s="88">
        <v>0</v>
      </c>
      <c r="BY19" s="88">
        <v>0</v>
      </c>
      <c r="BZ19" s="88">
        <v>0</v>
      </c>
      <c r="CA19" s="8">
        <f t="shared" ref="CA19:CA21" si="4">SUM(B19:BZ19)</f>
        <v>11419</v>
      </c>
    </row>
    <row r="20" spans="1:79">
      <c r="A20" s="78" t="s">
        <v>97</v>
      </c>
      <c r="B20" s="8">
        <f>'June 2024 YTD'!B20*2</f>
        <v>0</v>
      </c>
      <c r="C20" s="8">
        <f>'June 2024 YTD'!C20*2</f>
        <v>0</v>
      </c>
      <c r="D20" s="8">
        <f>'June 2024 YTD'!D20*2</f>
        <v>0</v>
      </c>
      <c r="E20" s="8">
        <f>'June 2024 YTD'!E20*2</f>
        <v>0</v>
      </c>
      <c r="F20" s="8">
        <f>'June 2024 YTD'!F20*2</f>
        <v>0</v>
      </c>
      <c r="G20" s="8">
        <f>'June 2024 YTD'!G20*2</f>
        <v>0</v>
      </c>
      <c r="H20" s="8">
        <f>'June 2024 YTD'!H20*2</f>
        <v>0</v>
      </c>
      <c r="I20" s="8">
        <f>'June 2024 YTD'!I20*2</f>
        <v>0</v>
      </c>
      <c r="J20" s="8">
        <f>'June 2024 YTD'!J20*2</f>
        <v>0</v>
      </c>
      <c r="K20" s="8">
        <f>'June 2024 YTD'!K20*2</f>
        <v>0</v>
      </c>
      <c r="L20" s="8">
        <f>'June 2024 YTD'!L20*2</f>
        <v>0</v>
      </c>
      <c r="M20" s="8">
        <f>'June 2024 YTD'!M20*2</f>
        <v>0</v>
      </c>
      <c r="N20" s="8">
        <f>'June 2024 YTD'!N20*2</f>
        <v>0</v>
      </c>
      <c r="O20" s="8">
        <f>'June 2024 YTD'!O20*2</f>
        <v>0</v>
      </c>
      <c r="P20" s="8">
        <f>'June 2024 YTD'!P20*2</f>
        <v>0</v>
      </c>
      <c r="Q20" s="8">
        <f>'June 2024 YTD'!Q20*2</f>
        <v>0</v>
      </c>
      <c r="R20" s="8">
        <f>'June 2024 YTD'!R20*2</f>
        <v>0</v>
      </c>
      <c r="S20" s="8">
        <f>'June 2024 YTD'!S20*2</f>
        <v>0</v>
      </c>
      <c r="T20" s="8">
        <f>'June 2024 YTD'!T20*2</f>
        <v>0</v>
      </c>
      <c r="U20" s="8">
        <f>'June 2024 YTD'!U20*2</f>
        <v>0</v>
      </c>
      <c r="V20" s="8">
        <f>'June 2024 YTD'!V20*2</f>
        <v>0</v>
      </c>
      <c r="W20" s="8">
        <f>'June 2024 YTD'!W20*2</f>
        <v>0</v>
      </c>
      <c r="X20" s="8">
        <f>'June 2024 YTD'!X20*2</f>
        <v>0</v>
      </c>
      <c r="Y20" s="8">
        <f>'June 2024 YTD'!Y20*2</f>
        <v>0</v>
      </c>
      <c r="Z20" s="8">
        <f>'June 2024 YTD'!Z20*2</f>
        <v>0</v>
      </c>
      <c r="AA20" s="8">
        <f>'June 2024 YTD'!AA20*2</f>
        <v>0</v>
      </c>
      <c r="AB20" s="8">
        <f>'June 2024 YTD'!AB20*2</f>
        <v>0</v>
      </c>
      <c r="AC20" s="8">
        <f>'June 2024 YTD'!AC20*2</f>
        <v>0</v>
      </c>
      <c r="AD20" s="8">
        <f>'June 2024 YTD'!AD20*2</f>
        <v>0</v>
      </c>
      <c r="AE20" s="8">
        <v>0</v>
      </c>
      <c r="AF20" s="8">
        <f>'June 2024 YTD'!AE20*2</f>
        <v>0</v>
      </c>
      <c r="AG20" s="8">
        <f>'June 2024 YTD'!AF20*2</f>
        <v>0</v>
      </c>
      <c r="AH20" s="8">
        <f>'June 2024 YTD'!AG20*2</f>
        <v>0</v>
      </c>
      <c r="AI20" s="8">
        <v>0</v>
      </c>
      <c r="AJ20" s="88">
        <v>0</v>
      </c>
      <c r="AK20" s="88">
        <v>0</v>
      </c>
      <c r="AL20" s="88">
        <v>0</v>
      </c>
      <c r="AM20" s="88">
        <v>0</v>
      </c>
      <c r="AN20" s="88">
        <v>0</v>
      </c>
      <c r="AO20" s="88">
        <v>0</v>
      </c>
      <c r="AP20" s="88">
        <v>0</v>
      </c>
      <c r="AQ20" s="8">
        <f>'June 2024 YTD'!AP20*2</f>
        <v>0</v>
      </c>
      <c r="AR20" s="8">
        <f>'June 2024 YTD'!AQ20*2</f>
        <v>2500</v>
      </c>
      <c r="AS20" s="88">
        <v>0</v>
      </c>
      <c r="AT20" s="8">
        <f>'June 2024 YTD'!AS20*2</f>
        <v>0</v>
      </c>
      <c r="AU20" s="88">
        <v>0</v>
      </c>
      <c r="AV20" s="88">
        <v>0</v>
      </c>
      <c r="AW20" s="8">
        <f>'June 2024 YTD'!AV20*2</f>
        <v>0</v>
      </c>
      <c r="AX20" s="8">
        <f>'June 2024 YTD'!AW20*2</f>
        <v>0</v>
      </c>
      <c r="AY20" s="88">
        <v>0</v>
      </c>
      <c r="AZ20" s="8">
        <f>'June 2024 YTD'!AY20*2</f>
        <v>0</v>
      </c>
      <c r="BA20" s="8">
        <f>'June 2024 YTD'!AZ20*2</f>
        <v>0</v>
      </c>
      <c r="BB20" s="8">
        <f>'June 2024 YTD'!BA20*2</f>
        <v>0</v>
      </c>
      <c r="BC20" s="88">
        <v>0</v>
      </c>
      <c r="BD20" s="88">
        <v>0</v>
      </c>
      <c r="BE20" s="88">
        <v>0</v>
      </c>
      <c r="BF20" s="88">
        <v>0</v>
      </c>
      <c r="BG20" s="8">
        <f>'June 2024 YTD'!BF20*2</f>
        <v>0</v>
      </c>
      <c r="BH20" s="8">
        <f>'June 2024 YTD'!BG20*2</f>
        <v>0</v>
      </c>
      <c r="BI20" s="8">
        <f>'June 2024 YTD'!BH20*2</f>
        <v>0</v>
      </c>
      <c r="BJ20" s="8">
        <f>'June 2024 YTD'!BI20*2</f>
        <v>0</v>
      </c>
      <c r="BK20" s="8">
        <f>'June 2024 YTD'!BJ20*2</f>
        <v>0</v>
      </c>
      <c r="BL20" s="8">
        <f>'June 2024 YTD'!BK20*2</f>
        <v>0</v>
      </c>
      <c r="BM20" s="8">
        <f>'June 2024 YTD'!BL20*2</f>
        <v>0</v>
      </c>
      <c r="BN20" s="8">
        <f>'June 2024 YTD'!BM20*2</f>
        <v>0</v>
      </c>
      <c r="BO20" s="8">
        <f>'June 2024 YTD'!BN20*2</f>
        <v>0</v>
      </c>
      <c r="BP20" s="8">
        <f>'June 2024 YTD'!BO20*2</f>
        <v>0</v>
      </c>
      <c r="BQ20" s="8">
        <f>'June 2024 YTD'!BP20*2</f>
        <v>0</v>
      </c>
      <c r="BR20" s="8">
        <f>'June 2024 YTD'!BQ20*2</f>
        <v>0</v>
      </c>
      <c r="BS20" s="8">
        <f>'June 2024 YTD'!BR20*2</f>
        <v>0</v>
      </c>
      <c r="BT20" s="8">
        <f>'June 2024 YTD'!BS20*2</f>
        <v>0</v>
      </c>
      <c r="BU20" s="8">
        <f>'June 2024 YTD'!BT20*2</f>
        <v>0</v>
      </c>
      <c r="BV20" s="8">
        <f>'June 2024 YTD'!BU20*2</f>
        <v>0</v>
      </c>
      <c r="BW20" s="8">
        <f>'June 2024 YTD'!BV20*2</f>
        <v>0</v>
      </c>
      <c r="BX20" s="88">
        <v>0</v>
      </c>
      <c r="BY20" s="88">
        <v>0</v>
      </c>
      <c r="BZ20" s="88">
        <v>0</v>
      </c>
      <c r="CA20" s="8">
        <f t="shared" si="4"/>
        <v>2500</v>
      </c>
    </row>
    <row r="21" spans="1:79">
      <c r="A21" s="78" t="s">
        <v>98</v>
      </c>
      <c r="B21" s="8">
        <f>'June 2024 YTD'!B21*2</f>
        <v>0</v>
      </c>
      <c r="C21" s="8">
        <f>'June 2024 YTD'!C21*2</f>
        <v>0</v>
      </c>
      <c r="D21" s="8">
        <f>'June 2024 YTD'!D21*2</f>
        <v>0</v>
      </c>
      <c r="E21" s="8">
        <f>'June 2024 YTD'!E21*2</f>
        <v>0</v>
      </c>
      <c r="F21" s="8">
        <f>'June 2024 YTD'!F21*2</f>
        <v>0</v>
      </c>
      <c r="G21" s="8">
        <f>'June 2024 YTD'!G21*2</f>
        <v>0</v>
      </c>
      <c r="H21" s="8">
        <f>'June 2024 YTD'!H21*2</f>
        <v>0</v>
      </c>
      <c r="I21" s="8">
        <f>'June 2024 YTD'!I21*2</f>
        <v>0</v>
      </c>
      <c r="J21" s="8">
        <f>'June 2024 YTD'!J21*2</f>
        <v>0</v>
      </c>
      <c r="K21" s="8">
        <f>'June 2024 YTD'!K21*2</f>
        <v>0</v>
      </c>
      <c r="L21" s="8">
        <f>'June 2024 YTD'!L21*2</f>
        <v>0</v>
      </c>
      <c r="M21" s="8">
        <f>'June 2024 YTD'!M21*2</f>
        <v>0</v>
      </c>
      <c r="N21" s="8">
        <f>'June 2024 YTD'!N21*2</f>
        <v>0</v>
      </c>
      <c r="O21" s="8">
        <f>'June 2024 YTD'!O21*2</f>
        <v>0</v>
      </c>
      <c r="P21" s="8">
        <f>'June 2024 YTD'!P21*2</f>
        <v>0</v>
      </c>
      <c r="Q21" s="8">
        <f>'June 2024 YTD'!Q21*2</f>
        <v>0</v>
      </c>
      <c r="R21" s="8">
        <f>'June 2024 YTD'!R21*2</f>
        <v>0</v>
      </c>
      <c r="S21" s="8">
        <f>'June 2024 YTD'!S21*2</f>
        <v>0</v>
      </c>
      <c r="T21" s="8">
        <f>'June 2024 YTD'!T21*2</f>
        <v>0</v>
      </c>
      <c r="U21" s="8">
        <f>'June 2024 YTD'!U21*2</f>
        <v>0</v>
      </c>
      <c r="V21" s="8">
        <f>'June 2024 YTD'!V21*2</f>
        <v>0</v>
      </c>
      <c r="W21" s="8">
        <f>'June 2024 YTD'!W21*2</f>
        <v>0</v>
      </c>
      <c r="X21" s="8">
        <f>'June 2024 YTD'!X21*2</f>
        <v>0</v>
      </c>
      <c r="Y21" s="8">
        <f>'June 2024 YTD'!Y21*2</f>
        <v>0</v>
      </c>
      <c r="Z21" s="8">
        <f>'June 2024 YTD'!Z21*2</f>
        <v>0</v>
      </c>
      <c r="AA21" s="8">
        <f>'June 2024 YTD'!AA21*2</f>
        <v>0</v>
      </c>
      <c r="AB21" s="8">
        <f>'June 2024 YTD'!AB21*2</f>
        <v>0</v>
      </c>
      <c r="AC21" s="8">
        <f>'June 2024 YTD'!AC21*2</f>
        <v>0</v>
      </c>
      <c r="AD21" s="8">
        <f>'June 2024 YTD'!AD21*2</f>
        <v>0</v>
      </c>
      <c r="AE21" s="8">
        <v>0</v>
      </c>
      <c r="AF21" s="8">
        <f>'June 2024 YTD'!AE21*2</f>
        <v>0</v>
      </c>
      <c r="AG21" s="8">
        <f>'June 2024 YTD'!AF21*2</f>
        <v>0</v>
      </c>
      <c r="AH21" s="8">
        <f>'June 2024 YTD'!AG21*2</f>
        <v>0</v>
      </c>
      <c r="AI21" s="8">
        <v>0</v>
      </c>
      <c r="AJ21" s="88">
        <v>0</v>
      </c>
      <c r="AK21" s="88">
        <v>0</v>
      </c>
      <c r="AL21" s="88">
        <v>0</v>
      </c>
      <c r="AM21" s="88">
        <v>0</v>
      </c>
      <c r="AN21" s="88">
        <v>0</v>
      </c>
      <c r="AO21" s="88">
        <v>0</v>
      </c>
      <c r="AP21" s="88">
        <v>0</v>
      </c>
      <c r="AQ21" s="8">
        <f>'June 2024 YTD'!AP21*2</f>
        <v>0</v>
      </c>
      <c r="AR21" s="8">
        <f>'June 2024 YTD'!AQ21*2-161814</f>
        <v>0</v>
      </c>
      <c r="AS21" s="88">
        <v>0</v>
      </c>
      <c r="AT21" s="8">
        <f>'June 2024 YTD'!AS21*2</f>
        <v>0</v>
      </c>
      <c r="AU21" s="88">
        <v>0</v>
      </c>
      <c r="AV21" s="88">
        <v>0</v>
      </c>
      <c r="AW21" s="8">
        <f>'June 2024 YTD'!AV21*2</f>
        <v>0</v>
      </c>
      <c r="AX21" s="8">
        <f>'June 2024 YTD'!AW21*2</f>
        <v>0</v>
      </c>
      <c r="AY21" s="88">
        <v>0</v>
      </c>
      <c r="AZ21" s="8">
        <f>'June 2024 YTD'!AY21*2</f>
        <v>0</v>
      </c>
      <c r="BA21" s="8">
        <f>'June 2024 YTD'!AZ21*2</f>
        <v>0</v>
      </c>
      <c r="BB21" s="8">
        <f>'June 2024 YTD'!BA21*2</f>
        <v>0</v>
      </c>
      <c r="BC21" s="88">
        <v>0</v>
      </c>
      <c r="BD21" s="88">
        <v>0</v>
      </c>
      <c r="BE21" s="88">
        <v>0</v>
      </c>
      <c r="BF21" s="88">
        <v>0</v>
      </c>
      <c r="BG21" s="8">
        <f>'June 2024 YTD'!BF21*2</f>
        <v>0</v>
      </c>
      <c r="BH21" s="8">
        <f>'June 2024 YTD'!BG21*2</f>
        <v>0</v>
      </c>
      <c r="BI21" s="8">
        <f>'June 2024 YTD'!BH21*2</f>
        <v>0</v>
      </c>
      <c r="BJ21" s="8">
        <f>'June 2024 YTD'!BI21*2</f>
        <v>0</v>
      </c>
      <c r="BK21" s="8">
        <f>'June 2024 YTD'!BJ21*2</f>
        <v>0</v>
      </c>
      <c r="BL21" s="8">
        <f>'June 2024 YTD'!BK21*2</f>
        <v>0</v>
      </c>
      <c r="BM21" s="8">
        <f>'June 2024 YTD'!BL21*2</f>
        <v>0</v>
      </c>
      <c r="BN21" s="8">
        <f>'June 2024 YTD'!BM21*2</f>
        <v>0</v>
      </c>
      <c r="BO21" s="8">
        <f>'June 2024 YTD'!BN21*2</f>
        <v>0</v>
      </c>
      <c r="BP21" s="8">
        <f>'June 2024 YTD'!BO21*2</f>
        <v>0</v>
      </c>
      <c r="BQ21" s="8">
        <f>'June 2024 YTD'!BP21*2</f>
        <v>0</v>
      </c>
      <c r="BR21" s="8">
        <f>'June 2024 YTD'!BQ21*2</f>
        <v>0</v>
      </c>
      <c r="BS21" s="8">
        <f>'June 2024 YTD'!BR21*2</f>
        <v>0</v>
      </c>
      <c r="BT21" s="8">
        <f>'June 2024 YTD'!BS21*2</f>
        <v>0</v>
      </c>
      <c r="BU21" s="8">
        <f>'June 2024 YTD'!BT21*2</f>
        <v>0</v>
      </c>
      <c r="BV21" s="8">
        <f>'June 2024 YTD'!BU21*2</f>
        <v>0</v>
      </c>
      <c r="BW21" s="8">
        <f>'June 2024 YTD'!BV21*2</f>
        <v>0</v>
      </c>
      <c r="BX21" s="88">
        <v>0</v>
      </c>
      <c r="BY21" s="88">
        <v>0</v>
      </c>
      <c r="BZ21" s="88">
        <v>0</v>
      </c>
      <c r="CA21" s="8">
        <f t="shared" si="4"/>
        <v>0</v>
      </c>
    </row>
    <row r="22" spans="1:79">
      <c r="A22" s="9" t="s">
        <v>99</v>
      </c>
      <c r="B22" s="10">
        <f t="shared" ref="B22:BN22" si="5">SUM(B19:B21)</f>
        <v>0</v>
      </c>
      <c r="C22" s="10">
        <f t="shared" si="5"/>
        <v>0</v>
      </c>
      <c r="D22" s="10">
        <f t="shared" si="5"/>
        <v>0</v>
      </c>
      <c r="E22" s="10">
        <f t="shared" si="5"/>
        <v>0</v>
      </c>
      <c r="F22" s="10">
        <f t="shared" si="5"/>
        <v>0</v>
      </c>
      <c r="G22" s="10">
        <f t="shared" si="5"/>
        <v>0</v>
      </c>
      <c r="H22" s="10">
        <f t="shared" si="5"/>
        <v>0</v>
      </c>
      <c r="I22" s="10">
        <f t="shared" si="5"/>
        <v>0</v>
      </c>
      <c r="J22" s="10">
        <f t="shared" si="5"/>
        <v>0</v>
      </c>
      <c r="K22" s="10">
        <f t="shared" si="5"/>
        <v>0</v>
      </c>
      <c r="L22" s="10">
        <f t="shared" si="5"/>
        <v>0</v>
      </c>
      <c r="M22" s="10">
        <f t="shared" si="5"/>
        <v>0</v>
      </c>
      <c r="N22" s="10">
        <f t="shared" si="5"/>
        <v>0</v>
      </c>
      <c r="O22" s="10">
        <f t="shared" si="5"/>
        <v>0</v>
      </c>
      <c r="P22" s="10">
        <f t="shared" si="5"/>
        <v>0</v>
      </c>
      <c r="Q22" s="10">
        <f t="shared" si="5"/>
        <v>0</v>
      </c>
      <c r="R22" s="10">
        <f t="shared" si="5"/>
        <v>0</v>
      </c>
      <c r="S22" s="10">
        <f t="shared" si="5"/>
        <v>0</v>
      </c>
      <c r="T22" s="10">
        <f t="shared" si="5"/>
        <v>0</v>
      </c>
      <c r="U22" s="10">
        <f t="shared" si="5"/>
        <v>0</v>
      </c>
      <c r="V22" s="10">
        <f t="shared" si="5"/>
        <v>0</v>
      </c>
      <c r="W22" s="10">
        <f t="shared" si="5"/>
        <v>0</v>
      </c>
      <c r="X22" s="10">
        <f t="shared" si="5"/>
        <v>0</v>
      </c>
      <c r="Y22" s="10">
        <f t="shared" si="5"/>
        <v>0</v>
      </c>
      <c r="Z22" s="10">
        <f t="shared" si="5"/>
        <v>0</v>
      </c>
      <c r="AA22" s="10">
        <f t="shared" si="5"/>
        <v>0</v>
      </c>
      <c r="AB22" s="10">
        <f t="shared" si="5"/>
        <v>0</v>
      </c>
      <c r="AC22" s="10">
        <f t="shared" si="5"/>
        <v>0</v>
      </c>
      <c r="AD22" s="10">
        <f t="shared" si="5"/>
        <v>0</v>
      </c>
      <c r="AE22" s="10">
        <f t="shared" ref="AE22" si="6">SUM(AE19:AE21)</f>
        <v>0</v>
      </c>
      <c r="AF22" s="10">
        <f t="shared" si="5"/>
        <v>7519</v>
      </c>
      <c r="AG22" s="10">
        <f t="shared" si="5"/>
        <v>0</v>
      </c>
      <c r="AH22" s="10">
        <f t="shared" si="5"/>
        <v>0</v>
      </c>
      <c r="AI22" s="10">
        <f t="shared" si="5"/>
        <v>0</v>
      </c>
      <c r="AJ22" s="89">
        <f t="shared" si="5"/>
        <v>0</v>
      </c>
      <c r="AK22" s="89">
        <f t="shared" si="5"/>
        <v>0</v>
      </c>
      <c r="AL22" s="89">
        <f t="shared" si="5"/>
        <v>0</v>
      </c>
      <c r="AM22" s="89">
        <f t="shared" si="5"/>
        <v>0</v>
      </c>
      <c r="AN22" s="89">
        <f t="shared" si="5"/>
        <v>0</v>
      </c>
      <c r="AO22" s="89">
        <f t="shared" si="5"/>
        <v>0</v>
      </c>
      <c r="AP22" s="89">
        <f t="shared" si="5"/>
        <v>0</v>
      </c>
      <c r="AQ22" s="10">
        <f t="shared" si="5"/>
        <v>0</v>
      </c>
      <c r="AR22" s="10">
        <f t="shared" si="5"/>
        <v>6400</v>
      </c>
      <c r="AS22" s="89">
        <f>SUM(AS19:AS21)</f>
        <v>0</v>
      </c>
      <c r="AT22" s="10">
        <f t="shared" si="5"/>
        <v>0</v>
      </c>
      <c r="AU22" s="89">
        <f t="shared" si="5"/>
        <v>0</v>
      </c>
      <c r="AV22" s="89">
        <f t="shared" si="5"/>
        <v>0</v>
      </c>
      <c r="AW22" s="10">
        <f t="shared" si="5"/>
        <v>0</v>
      </c>
      <c r="AX22" s="10">
        <f t="shared" si="5"/>
        <v>0</v>
      </c>
      <c r="AY22" s="89">
        <f t="shared" si="5"/>
        <v>0</v>
      </c>
      <c r="AZ22" s="10">
        <f t="shared" si="5"/>
        <v>0</v>
      </c>
      <c r="BA22" s="10">
        <f t="shared" si="5"/>
        <v>0</v>
      </c>
      <c r="BB22" s="10">
        <f t="shared" si="5"/>
        <v>0</v>
      </c>
      <c r="BC22" s="89">
        <f t="shared" si="5"/>
        <v>0</v>
      </c>
      <c r="BD22" s="89">
        <f t="shared" si="5"/>
        <v>0</v>
      </c>
      <c r="BE22" s="89">
        <f t="shared" si="5"/>
        <v>0</v>
      </c>
      <c r="BF22" s="89">
        <f t="shared" si="5"/>
        <v>0</v>
      </c>
      <c r="BG22" s="10">
        <f t="shared" si="5"/>
        <v>0</v>
      </c>
      <c r="BH22" s="10">
        <f t="shared" si="5"/>
        <v>0</v>
      </c>
      <c r="BI22" s="10">
        <f t="shared" si="5"/>
        <v>0</v>
      </c>
      <c r="BJ22" s="10">
        <f t="shared" si="5"/>
        <v>0</v>
      </c>
      <c r="BK22" s="10">
        <f t="shared" si="5"/>
        <v>0</v>
      </c>
      <c r="BL22" s="10">
        <f t="shared" si="5"/>
        <v>0</v>
      </c>
      <c r="BM22" s="10">
        <f t="shared" si="5"/>
        <v>0</v>
      </c>
      <c r="BN22" s="10">
        <f t="shared" si="5"/>
        <v>0</v>
      </c>
      <c r="BO22" s="10">
        <f t="shared" ref="BO22:CA22" si="7">SUM(BO19:BO21)</f>
        <v>0</v>
      </c>
      <c r="BP22" s="10">
        <f t="shared" si="7"/>
        <v>0</v>
      </c>
      <c r="BQ22" s="10">
        <f t="shared" si="7"/>
        <v>0</v>
      </c>
      <c r="BR22" s="10">
        <f t="shared" si="7"/>
        <v>0</v>
      </c>
      <c r="BS22" s="10">
        <f t="shared" si="7"/>
        <v>0</v>
      </c>
      <c r="BT22" s="10">
        <f t="shared" si="7"/>
        <v>0</v>
      </c>
      <c r="BU22" s="10">
        <f t="shared" si="7"/>
        <v>0</v>
      </c>
      <c r="BV22" s="10">
        <f t="shared" si="7"/>
        <v>0</v>
      </c>
      <c r="BW22" s="10">
        <f t="shared" si="7"/>
        <v>0</v>
      </c>
      <c r="BX22" s="89">
        <f t="shared" si="7"/>
        <v>0</v>
      </c>
      <c r="BY22" s="89">
        <f t="shared" si="7"/>
        <v>0</v>
      </c>
      <c r="BZ22" s="89">
        <f t="shared" si="7"/>
        <v>0</v>
      </c>
      <c r="CA22" s="10">
        <f t="shared" si="7"/>
        <v>13919</v>
      </c>
    </row>
    <row r="23" spans="1:79">
      <c r="A23" s="22" t="s">
        <v>100</v>
      </c>
      <c r="B23" s="8">
        <v>0</v>
      </c>
      <c r="C23" s="8">
        <v>206717.19587979891</v>
      </c>
      <c r="D23" s="8">
        <v>84443.918027704029</v>
      </c>
      <c r="E23" s="8">
        <v>12725.609194764807</v>
      </c>
      <c r="F23" s="8">
        <v>16302.233004852447</v>
      </c>
      <c r="G23" s="8">
        <v>9499.7117590289727</v>
      </c>
      <c r="H23" s="8">
        <v>25537.591302616253</v>
      </c>
      <c r="I23" s="8">
        <v>39651.710509273849</v>
      </c>
      <c r="J23" s="8">
        <v>42168.303113298192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1745.7797887511572</v>
      </c>
      <c r="AD23" s="8">
        <v>727.62635872986766</v>
      </c>
      <c r="AE23" s="8">
        <v>0</v>
      </c>
      <c r="AF23" s="8">
        <v>0</v>
      </c>
      <c r="AG23" s="8">
        <v>0</v>
      </c>
      <c r="AH23" s="8">
        <v>0</v>
      </c>
      <c r="AI23" s="4">
        <v>0</v>
      </c>
      <c r="AJ23" s="87">
        <v>0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">
        <v>0</v>
      </c>
      <c r="AR23" s="8">
        <v>0</v>
      </c>
      <c r="AS23" s="87">
        <v>0</v>
      </c>
      <c r="AT23" s="8">
        <v>1205.2947417090074</v>
      </c>
      <c r="AU23" s="88">
        <v>0</v>
      </c>
      <c r="AV23" s="88">
        <v>0</v>
      </c>
      <c r="AW23" s="8">
        <v>18030.99994708654</v>
      </c>
      <c r="AX23" s="8">
        <v>0</v>
      </c>
      <c r="AY23" s="88">
        <v>0</v>
      </c>
      <c r="AZ23" s="8">
        <v>18827.986372385982</v>
      </c>
      <c r="BA23" s="8">
        <v>0</v>
      </c>
      <c r="BB23" s="8">
        <v>0</v>
      </c>
      <c r="BC23" s="88">
        <v>0</v>
      </c>
      <c r="BD23" s="88">
        <v>0</v>
      </c>
      <c r="BE23" s="88">
        <v>0</v>
      </c>
      <c r="BF23" s="8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0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0</v>
      </c>
      <c r="BX23" s="88">
        <v>0</v>
      </c>
      <c r="BY23" s="88">
        <v>0</v>
      </c>
      <c r="BZ23" s="88">
        <v>0</v>
      </c>
      <c r="CA23" s="8">
        <f>SUM(B23:BZ23)</f>
        <v>477583.96</v>
      </c>
    </row>
    <row r="24" spans="1:79">
      <c r="A24" s="81" t="s">
        <v>101</v>
      </c>
      <c r="B24" s="4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90"/>
      <c r="AK24" s="90"/>
      <c r="AL24" s="90"/>
      <c r="AM24" s="90"/>
      <c r="AN24" s="90"/>
      <c r="AO24" s="90"/>
      <c r="AP24" s="90"/>
      <c r="AQ24" s="82"/>
      <c r="AR24" s="82"/>
      <c r="AS24" s="90"/>
      <c r="AT24" s="82"/>
      <c r="AU24" s="90"/>
      <c r="AV24" s="90"/>
      <c r="AW24" s="82"/>
      <c r="AX24" s="82"/>
      <c r="AY24" s="90"/>
      <c r="AZ24" s="82"/>
      <c r="BA24" s="82"/>
      <c r="BB24" s="19"/>
      <c r="BC24" s="90"/>
      <c r="BD24" s="90"/>
      <c r="BE24" s="90"/>
      <c r="BF24" s="90"/>
      <c r="BG24" s="19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90"/>
      <c r="BY24" s="90"/>
      <c r="BZ24" s="90"/>
      <c r="CA24" s="4"/>
    </row>
    <row r="25" spans="1:79">
      <c r="A25" s="78" t="s">
        <v>102</v>
      </c>
      <c r="B25" s="8">
        <f>'June 2024 YTD'!B25*2</f>
        <v>0</v>
      </c>
      <c r="C25" s="8">
        <f>'June 2024 YTD'!C25*2</f>
        <v>0</v>
      </c>
      <c r="D25" s="8">
        <f>'June 2024 YTD'!D25*2</f>
        <v>0</v>
      </c>
      <c r="E25" s="8">
        <f>'June 2024 YTD'!E25*2</f>
        <v>0</v>
      </c>
      <c r="F25" s="8">
        <f>'June 2024 YTD'!F25*2</f>
        <v>0</v>
      </c>
      <c r="G25" s="8">
        <f>'June 2024 YTD'!G25*2</f>
        <v>0</v>
      </c>
      <c r="H25" s="8">
        <f>'June 2024 YTD'!H25*2</f>
        <v>0</v>
      </c>
      <c r="I25" s="8">
        <f>'June 2024 YTD'!I25*2</f>
        <v>0</v>
      </c>
      <c r="J25" s="8">
        <f>'June 2024 YTD'!J25*2</f>
        <v>0</v>
      </c>
      <c r="K25" s="8">
        <f>'June 2024 YTD'!K25*2</f>
        <v>0</v>
      </c>
      <c r="L25" s="8">
        <f>'June 2024 YTD'!L25*2</f>
        <v>0</v>
      </c>
      <c r="M25" s="8">
        <f>'June 2024 YTD'!M25*2</f>
        <v>0</v>
      </c>
      <c r="N25" s="8">
        <f>'June 2024 YTD'!N25*2</f>
        <v>0</v>
      </c>
      <c r="O25" s="8">
        <f>'June 2024 YTD'!O25*2</f>
        <v>0</v>
      </c>
      <c r="P25" s="8">
        <f>'June 2024 YTD'!P25*2</f>
        <v>0</v>
      </c>
      <c r="Q25" s="8">
        <f>'June 2024 YTD'!Q25*2</f>
        <v>0</v>
      </c>
      <c r="R25" s="8">
        <f>'June 2024 YTD'!R25*2</f>
        <v>0</v>
      </c>
      <c r="S25" s="8">
        <f>'June 2024 YTD'!S25*2</f>
        <v>0</v>
      </c>
      <c r="T25" s="8">
        <f>'June 2024 YTD'!T25*2</f>
        <v>0</v>
      </c>
      <c r="U25" s="8">
        <f>'June 2024 YTD'!U25*2</f>
        <v>0</v>
      </c>
      <c r="V25" s="8">
        <f>'June 2024 YTD'!V25*2</f>
        <v>0</v>
      </c>
      <c r="W25" s="8">
        <f>'June 2024 YTD'!W25*2</f>
        <v>0</v>
      </c>
      <c r="X25" s="8">
        <f>'June 2024 YTD'!X25*2</f>
        <v>0</v>
      </c>
      <c r="Y25" s="8">
        <f>'June 2024 YTD'!Y25*2</f>
        <v>0</v>
      </c>
      <c r="Z25" s="8">
        <f>'June 2024 YTD'!Z25*2</f>
        <v>0</v>
      </c>
      <c r="AA25" s="8">
        <f>'June 2024 YTD'!AA25*2</f>
        <v>0</v>
      </c>
      <c r="AB25" s="8">
        <f>'June 2024 YTD'!AB25*2</f>
        <v>0</v>
      </c>
      <c r="AC25" s="8">
        <f>'June 2024 YTD'!AC25*2</f>
        <v>0</v>
      </c>
      <c r="AD25" s="8">
        <f>'June 2024 YTD'!AD25*2</f>
        <v>0</v>
      </c>
      <c r="AE25" s="8">
        <v>0</v>
      </c>
      <c r="AF25" s="8">
        <f>'June 2024 YTD'!AE25*2</f>
        <v>0</v>
      </c>
      <c r="AG25" s="8">
        <f>'June 2024 YTD'!AF25*2</f>
        <v>0</v>
      </c>
      <c r="AH25" s="8">
        <f>'June 2024 YTD'!AG25*2</f>
        <v>0</v>
      </c>
      <c r="AI25" s="8">
        <v>0</v>
      </c>
      <c r="AJ25" s="88">
        <v>0</v>
      </c>
      <c r="AK25" s="88">
        <v>0</v>
      </c>
      <c r="AL25" s="88">
        <v>0</v>
      </c>
      <c r="AM25" s="88">
        <v>0</v>
      </c>
      <c r="AN25" s="88">
        <v>0</v>
      </c>
      <c r="AO25" s="88">
        <v>0</v>
      </c>
      <c r="AP25" s="88">
        <v>0</v>
      </c>
      <c r="AQ25" s="8">
        <f>'June 2024 YTD'!AP25*2</f>
        <v>0</v>
      </c>
      <c r="AR25" s="8">
        <v>0</v>
      </c>
      <c r="AS25" s="88">
        <v>0</v>
      </c>
      <c r="AT25" s="8">
        <f>'June 2024 YTD'!AS25*2</f>
        <v>0</v>
      </c>
      <c r="AU25" s="88">
        <v>0</v>
      </c>
      <c r="AV25" s="88">
        <v>0</v>
      </c>
      <c r="AW25" s="8">
        <f>'June 2024 YTD'!AV25*2</f>
        <v>0</v>
      </c>
      <c r="AX25" s="8">
        <f>'June 2024 YTD'!AW25*2</f>
        <v>0</v>
      </c>
      <c r="AY25" s="88">
        <v>0</v>
      </c>
      <c r="AZ25" s="8">
        <f>'June 2024 YTD'!AY25*2</f>
        <v>0</v>
      </c>
      <c r="BA25" s="8">
        <f>'June 2024 YTD'!AZ25*2</f>
        <v>0</v>
      </c>
      <c r="BB25" s="80">
        <f>'June 2024 YTD'!BA25*2</f>
        <v>13519.58</v>
      </c>
      <c r="BC25" s="88">
        <v>0</v>
      </c>
      <c r="BD25" s="88">
        <v>0</v>
      </c>
      <c r="BE25" s="88">
        <v>0</v>
      </c>
      <c r="BF25" s="88">
        <v>0</v>
      </c>
      <c r="BG25" s="8">
        <f>'June 2024 YTD'!BF25*2</f>
        <v>0</v>
      </c>
      <c r="BH25" s="8">
        <f>'June 2024 YTD'!BG25*2</f>
        <v>0</v>
      </c>
      <c r="BI25" s="8">
        <f>'June 2024 YTD'!BH25*2</f>
        <v>0</v>
      </c>
      <c r="BJ25" s="8">
        <f>'June 2024 YTD'!BI25*2</f>
        <v>0</v>
      </c>
      <c r="BK25" s="8">
        <f>'June 2024 YTD'!BJ25*2</f>
        <v>0</v>
      </c>
      <c r="BL25" s="8">
        <f>'June 2024 YTD'!BK25*2</f>
        <v>0</v>
      </c>
      <c r="BM25" s="8">
        <f>'June 2024 YTD'!BL25*2</f>
        <v>0</v>
      </c>
      <c r="BN25" s="8">
        <f>'June 2024 YTD'!BM25*2</f>
        <v>0</v>
      </c>
      <c r="BO25" s="8">
        <f>'June 2024 YTD'!BN25*2</f>
        <v>0</v>
      </c>
      <c r="BP25" s="8">
        <f>'June 2024 YTD'!BO25*2</f>
        <v>0</v>
      </c>
      <c r="BQ25" s="8">
        <f>'June 2024 YTD'!BP25*2</f>
        <v>0</v>
      </c>
      <c r="BR25" s="8">
        <f>'June 2024 YTD'!BQ25*2</f>
        <v>0</v>
      </c>
      <c r="BS25" s="8">
        <f>'June 2024 YTD'!BR25*2</f>
        <v>0</v>
      </c>
      <c r="BT25" s="8">
        <f>'June 2024 YTD'!BS25*2</f>
        <v>0</v>
      </c>
      <c r="BU25" s="8">
        <f>'June 2024 YTD'!BT25*2</f>
        <v>0</v>
      </c>
      <c r="BV25" s="8">
        <f>'June 2024 YTD'!BU25*2</f>
        <v>0</v>
      </c>
      <c r="BW25" s="8">
        <f>'June 2024 YTD'!BV25*2</f>
        <v>0</v>
      </c>
      <c r="BX25" s="88">
        <v>0</v>
      </c>
      <c r="BY25" s="88">
        <v>0</v>
      </c>
      <c r="BZ25" s="88">
        <v>0</v>
      </c>
      <c r="CA25" s="8">
        <f t="shared" ref="CA25:CA27" si="8">SUM(B25:BZ25)</f>
        <v>13519.58</v>
      </c>
    </row>
    <row r="26" spans="1:79">
      <c r="A26" s="78" t="s">
        <v>103</v>
      </c>
      <c r="B26" s="8">
        <f>'June 2024 YTD'!B26*2</f>
        <v>0</v>
      </c>
      <c r="C26" s="8">
        <f>'June 2024 YTD'!C26*2</f>
        <v>0</v>
      </c>
      <c r="D26" s="8">
        <f>'June 2024 YTD'!D26*2</f>
        <v>0</v>
      </c>
      <c r="E26" s="8">
        <f>'June 2024 YTD'!E26*2</f>
        <v>0</v>
      </c>
      <c r="F26" s="8">
        <f>'June 2024 YTD'!F26*2</f>
        <v>0</v>
      </c>
      <c r="G26" s="8">
        <f>'June 2024 YTD'!G26*2</f>
        <v>0</v>
      </c>
      <c r="H26" s="8">
        <f>'June 2024 YTD'!H26*2</f>
        <v>0</v>
      </c>
      <c r="I26" s="8">
        <f>'June 2024 YTD'!I26*2</f>
        <v>0</v>
      </c>
      <c r="J26" s="8">
        <f>'June 2024 YTD'!J26*2</f>
        <v>0</v>
      </c>
      <c r="K26" s="8">
        <f>'June 2024 YTD'!K26*2</f>
        <v>0</v>
      </c>
      <c r="L26" s="8">
        <f>'June 2024 YTD'!L26*2</f>
        <v>0</v>
      </c>
      <c r="M26" s="8">
        <f>'June 2024 YTD'!M26*2</f>
        <v>0</v>
      </c>
      <c r="N26" s="8">
        <f>'June 2024 YTD'!N26*2</f>
        <v>0</v>
      </c>
      <c r="O26" s="8">
        <f>'June 2024 YTD'!O26*2</f>
        <v>0</v>
      </c>
      <c r="P26" s="8">
        <f>'June 2024 YTD'!P26*2</f>
        <v>0</v>
      </c>
      <c r="Q26" s="8">
        <f>'June 2024 YTD'!Q26*2</f>
        <v>0</v>
      </c>
      <c r="R26" s="8">
        <f>'June 2024 YTD'!R26*2</f>
        <v>0</v>
      </c>
      <c r="S26" s="8">
        <f>'June 2024 YTD'!S26*2</f>
        <v>0</v>
      </c>
      <c r="T26" s="8">
        <f>'June 2024 YTD'!T26*2</f>
        <v>0</v>
      </c>
      <c r="U26" s="8">
        <f>'June 2024 YTD'!U26*2</f>
        <v>0</v>
      </c>
      <c r="V26" s="8">
        <f>'June 2024 YTD'!V26*2</f>
        <v>0</v>
      </c>
      <c r="W26" s="8">
        <f>'June 2024 YTD'!W26*2</f>
        <v>0</v>
      </c>
      <c r="X26" s="8">
        <f>'June 2024 YTD'!X26*2</f>
        <v>0</v>
      </c>
      <c r="Y26" s="8">
        <f>'June 2024 YTD'!Y26*2</f>
        <v>0</v>
      </c>
      <c r="Z26" s="8">
        <f>'June 2024 YTD'!Z26*2</f>
        <v>0</v>
      </c>
      <c r="AA26" s="8">
        <f>'June 2024 YTD'!AA26*2</f>
        <v>0</v>
      </c>
      <c r="AB26" s="8">
        <f>'June 2024 YTD'!AB26*2</f>
        <v>0</v>
      </c>
      <c r="AC26" s="8">
        <f>'June 2024 YTD'!AC26*2</f>
        <v>0</v>
      </c>
      <c r="AD26" s="8">
        <f>'June 2024 YTD'!AD26*2</f>
        <v>0</v>
      </c>
      <c r="AE26" s="8">
        <v>0</v>
      </c>
      <c r="AF26" s="8">
        <f>'June 2024 YTD'!AE26*2</f>
        <v>0</v>
      </c>
      <c r="AG26" s="8">
        <f>'June 2024 YTD'!AF26*2</f>
        <v>0</v>
      </c>
      <c r="AH26" s="8">
        <f>'June 2024 YTD'!AG26*2</f>
        <v>0</v>
      </c>
      <c r="AI26" s="8">
        <v>0</v>
      </c>
      <c r="AJ26" s="88">
        <v>0</v>
      </c>
      <c r="AK26" s="88">
        <v>0</v>
      </c>
      <c r="AL26" s="88">
        <v>0</v>
      </c>
      <c r="AM26" s="88">
        <v>0</v>
      </c>
      <c r="AN26" s="88">
        <v>0</v>
      </c>
      <c r="AO26" s="88">
        <v>0</v>
      </c>
      <c r="AP26" s="88">
        <v>0</v>
      </c>
      <c r="AQ26" s="8">
        <f>'June 2024 YTD'!AP26*2</f>
        <v>0</v>
      </c>
      <c r="AR26" s="8">
        <v>0</v>
      </c>
      <c r="AS26" s="88">
        <v>0</v>
      </c>
      <c r="AT26" s="8">
        <f>'June 2024 YTD'!AS26*2</f>
        <v>0</v>
      </c>
      <c r="AU26" s="88">
        <v>0</v>
      </c>
      <c r="AV26" s="88">
        <v>0</v>
      </c>
      <c r="AW26" s="8">
        <f>'June 2024 YTD'!AV26*2</f>
        <v>0</v>
      </c>
      <c r="AX26" s="8">
        <f>'June 2024 YTD'!AW26*2</f>
        <v>0</v>
      </c>
      <c r="AY26" s="88">
        <v>0</v>
      </c>
      <c r="AZ26" s="8">
        <f>'June 2024 YTD'!AY26*2</f>
        <v>0</v>
      </c>
      <c r="BA26" s="8">
        <f>'June 2024 YTD'!AZ26*2</f>
        <v>0</v>
      </c>
      <c r="BB26" s="80">
        <f>'June 2024 YTD'!BA26*2</f>
        <v>53376.46</v>
      </c>
      <c r="BC26" s="88">
        <v>0</v>
      </c>
      <c r="BD26" s="88">
        <v>0</v>
      </c>
      <c r="BE26" s="88">
        <v>0</v>
      </c>
      <c r="BF26" s="88">
        <v>0</v>
      </c>
      <c r="BG26" s="8">
        <f>'June 2024 YTD'!BF26*2</f>
        <v>0</v>
      </c>
      <c r="BH26" s="8">
        <f>'June 2024 YTD'!BG26*2</f>
        <v>0</v>
      </c>
      <c r="BI26" s="8">
        <f>'June 2024 YTD'!BH26*2</f>
        <v>0</v>
      </c>
      <c r="BJ26" s="8">
        <f>'June 2024 YTD'!BI26*2</f>
        <v>0</v>
      </c>
      <c r="BK26" s="8">
        <f>'June 2024 YTD'!BJ26*2</f>
        <v>0</v>
      </c>
      <c r="BL26" s="8">
        <f>'June 2024 YTD'!BK26*2</f>
        <v>0</v>
      </c>
      <c r="BM26" s="8">
        <f>'June 2024 YTD'!BL26*2</f>
        <v>0</v>
      </c>
      <c r="BN26" s="8">
        <f>'June 2024 YTD'!BM26*2</f>
        <v>0</v>
      </c>
      <c r="BO26" s="8">
        <f>'June 2024 YTD'!BN26*2</f>
        <v>0</v>
      </c>
      <c r="BP26" s="8">
        <f>'June 2024 YTD'!BO26*2</f>
        <v>0</v>
      </c>
      <c r="BQ26" s="8">
        <f>'June 2024 YTD'!BP26*2</f>
        <v>0</v>
      </c>
      <c r="BR26" s="8">
        <f>'June 2024 YTD'!BQ26*2</f>
        <v>0</v>
      </c>
      <c r="BS26" s="8">
        <f>'June 2024 YTD'!BR26*2</f>
        <v>0</v>
      </c>
      <c r="BT26" s="8">
        <f>'June 2024 YTD'!BS26*2</f>
        <v>0</v>
      </c>
      <c r="BU26" s="8">
        <f>'June 2024 YTD'!BT26*2</f>
        <v>0</v>
      </c>
      <c r="BV26" s="8">
        <f>'June 2024 YTD'!BU26*2</f>
        <v>0</v>
      </c>
      <c r="BW26" s="8">
        <f>'June 2024 YTD'!BV26*2</f>
        <v>0</v>
      </c>
      <c r="BX26" s="88">
        <v>0</v>
      </c>
      <c r="BY26" s="88">
        <v>0</v>
      </c>
      <c r="BZ26" s="88">
        <v>0</v>
      </c>
      <c r="CA26" s="8">
        <f t="shared" si="8"/>
        <v>53376.46</v>
      </c>
    </row>
    <row r="27" spans="1:79">
      <c r="A27" s="78" t="s">
        <v>104</v>
      </c>
      <c r="B27" s="8">
        <f>'June 2024 YTD'!B27*2</f>
        <v>0</v>
      </c>
      <c r="C27" s="8">
        <f>'June 2024 YTD'!C27*2</f>
        <v>0</v>
      </c>
      <c r="D27" s="8">
        <f>'June 2024 YTD'!D27*2</f>
        <v>0</v>
      </c>
      <c r="E27" s="8">
        <f>'June 2024 YTD'!E27*2</f>
        <v>0</v>
      </c>
      <c r="F27" s="8">
        <f>'June 2024 YTD'!F27*2</f>
        <v>0</v>
      </c>
      <c r="G27" s="8">
        <f>'June 2024 YTD'!G27*2</f>
        <v>0</v>
      </c>
      <c r="H27" s="8">
        <f>'June 2024 YTD'!H27*2</f>
        <v>0</v>
      </c>
      <c r="I27" s="8">
        <f>'June 2024 YTD'!I27*2</f>
        <v>0</v>
      </c>
      <c r="J27" s="8">
        <f>'June 2024 YTD'!J27*2</f>
        <v>0</v>
      </c>
      <c r="K27" s="8">
        <f>'June 2024 YTD'!K27*2</f>
        <v>0</v>
      </c>
      <c r="L27" s="8">
        <f>'June 2024 YTD'!L27*2</f>
        <v>0</v>
      </c>
      <c r="M27" s="8">
        <f>'June 2024 YTD'!M27*2</f>
        <v>0</v>
      </c>
      <c r="N27" s="8">
        <f>'June 2024 YTD'!N27*2</f>
        <v>0</v>
      </c>
      <c r="O27" s="8">
        <f>'June 2024 YTD'!O27*2</f>
        <v>0</v>
      </c>
      <c r="P27" s="8">
        <f>'June 2024 YTD'!P27*2</f>
        <v>0</v>
      </c>
      <c r="Q27" s="8">
        <f>'June 2024 YTD'!Q27*2</f>
        <v>0</v>
      </c>
      <c r="R27" s="8">
        <f>'June 2024 YTD'!R27*2</f>
        <v>0</v>
      </c>
      <c r="S27" s="8">
        <f>'June 2024 YTD'!S27*2</f>
        <v>0</v>
      </c>
      <c r="T27" s="8">
        <f>'June 2024 YTD'!T27*2</f>
        <v>0</v>
      </c>
      <c r="U27" s="8">
        <f>'June 2024 YTD'!U27*2</f>
        <v>0</v>
      </c>
      <c r="V27" s="8">
        <f>'June 2024 YTD'!V27*2</f>
        <v>0</v>
      </c>
      <c r="W27" s="8">
        <f>'June 2024 YTD'!W27*2</f>
        <v>0</v>
      </c>
      <c r="X27" s="8">
        <f>'June 2024 YTD'!X27*2</f>
        <v>0</v>
      </c>
      <c r="Y27" s="8">
        <f>'June 2024 YTD'!Y27*2</f>
        <v>0</v>
      </c>
      <c r="Z27" s="8">
        <f>'June 2024 YTD'!Z27*2</f>
        <v>0</v>
      </c>
      <c r="AA27" s="8">
        <f>'June 2024 YTD'!AA27*2</f>
        <v>0</v>
      </c>
      <c r="AB27" s="8">
        <f>'June 2024 YTD'!AB27*2</f>
        <v>0</v>
      </c>
      <c r="AC27" s="8">
        <f>'June 2024 YTD'!AC27*2</f>
        <v>0</v>
      </c>
      <c r="AD27" s="8">
        <f>'June 2024 YTD'!AD27*2</f>
        <v>0</v>
      </c>
      <c r="AE27" s="8">
        <v>0</v>
      </c>
      <c r="AF27" s="8">
        <f>'June 2024 YTD'!AE27*2</f>
        <v>0</v>
      </c>
      <c r="AG27" s="8">
        <f>'June 2024 YTD'!AF27*2</f>
        <v>0</v>
      </c>
      <c r="AH27" s="8">
        <f>'June 2024 YTD'!AG27*2</f>
        <v>0</v>
      </c>
      <c r="AI27" s="8">
        <v>0</v>
      </c>
      <c r="AJ27" s="88">
        <v>0</v>
      </c>
      <c r="AK27" s="88">
        <v>0</v>
      </c>
      <c r="AL27" s="88">
        <v>0</v>
      </c>
      <c r="AM27" s="88">
        <v>0</v>
      </c>
      <c r="AN27" s="88">
        <v>0</v>
      </c>
      <c r="AO27" s="88">
        <v>0</v>
      </c>
      <c r="AP27" s="88">
        <v>0</v>
      </c>
      <c r="AQ27" s="8">
        <f>'June 2024 YTD'!AP27*2</f>
        <v>0</v>
      </c>
      <c r="AR27" s="8">
        <v>0</v>
      </c>
      <c r="AS27" s="88">
        <v>0</v>
      </c>
      <c r="AT27" s="8">
        <f>'June 2024 YTD'!AS27*2</f>
        <v>0</v>
      </c>
      <c r="AU27" s="88">
        <v>0</v>
      </c>
      <c r="AV27" s="88">
        <v>0</v>
      </c>
      <c r="AW27" s="8">
        <f>'June 2024 YTD'!AV27*2</f>
        <v>0</v>
      </c>
      <c r="AX27" s="8">
        <f>'June 2024 YTD'!AW27*2</f>
        <v>0</v>
      </c>
      <c r="AY27" s="88">
        <v>0</v>
      </c>
      <c r="AZ27" s="8">
        <f>'June 2024 YTD'!AY27*2</f>
        <v>0</v>
      </c>
      <c r="BA27" s="8">
        <f>'June 2024 YTD'!AZ27*2</f>
        <v>0</v>
      </c>
      <c r="BB27" s="80">
        <f>'June 2024 YTD'!BA27*2</f>
        <v>41586.959999999999</v>
      </c>
      <c r="BC27" s="88">
        <v>0</v>
      </c>
      <c r="BD27" s="88">
        <v>0</v>
      </c>
      <c r="BE27" s="88">
        <v>0</v>
      </c>
      <c r="BF27" s="88">
        <v>0</v>
      </c>
      <c r="BG27" s="8">
        <f>'June 2024 YTD'!BF27*2</f>
        <v>0</v>
      </c>
      <c r="BH27" s="8">
        <f>'June 2024 YTD'!BG27*2</f>
        <v>0</v>
      </c>
      <c r="BI27" s="8">
        <f>'June 2024 YTD'!BH27*2</f>
        <v>0</v>
      </c>
      <c r="BJ27" s="8">
        <f>'June 2024 YTD'!BI27*2</f>
        <v>0</v>
      </c>
      <c r="BK27" s="8">
        <f>'June 2024 YTD'!BJ27*2</f>
        <v>0</v>
      </c>
      <c r="BL27" s="8">
        <f>'June 2024 YTD'!BK27*2</f>
        <v>0</v>
      </c>
      <c r="BM27" s="8">
        <f>'June 2024 YTD'!BL27*2</f>
        <v>0</v>
      </c>
      <c r="BN27" s="8">
        <f>'June 2024 YTD'!BM27*2</f>
        <v>0</v>
      </c>
      <c r="BO27" s="8">
        <f>'June 2024 YTD'!BN27*2</f>
        <v>0</v>
      </c>
      <c r="BP27" s="8">
        <f>'June 2024 YTD'!BO27*2</f>
        <v>0</v>
      </c>
      <c r="BQ27" s="8">
        <f>'June 2024 YTD'!BP27*2</f>
        <v>0</v>
      </c>
      <c r="BR27" s="8">
        <f>'June 2024 YTD'!BQ27*2</f>
        <v>0</v>
      </c>
      <c r="BS27" s="8">
        <f>'June 2024 YTD'!BR27*2</f>
        <v>0</v>
      </c>
      <c r="BT27" s="8">
        <f>'June 2024 YTD'!BS27*2</f>
        <v>0</v>
      </c>
      <c r="BU27" s="8">
        <f>'June 2024 YTD'!BT27*2</f>
        <v>0</v>
      </c>
      <c r="BV27" s="8">
        <f>'June 2024 YTD'!BU27*2</f>
        <v>0</v>
      </c>
      <c r="BW27" s="8">
        <f>'June 2024 YTD'!BV27*2</f>
        <v>0</v>
      </c>
      <c r="BX27" s="88">
        <v>0</v>
      </c>
      <c r="BY27" s="88">
        <v>0</v>
      </c>
      <c r="BZ27" s="88">
        <v>0</v>
      </c>
      <c r="CA27" s="8">
        <f t="shared" si="8"/>
        <v>41586.959999999999</v>
      </c>
    </row>
    <row r="28" spans="1:79">
      <c r="A28" s="9" t="s">
        <v>105</v>
      </c>
      <c r="B28" s="10">
        <f t="shared" ref="B28:BN28" si="9">SUM(B25:B27)</f>
        <v>0</v>
      </c>
      <c r="C28" s="10">
        <f t="shared" si="9"/>
        <v>0</v>
      </c>
      <c r="D28" s="10">
        <f t="shared" si="9"/>
        <v>0</v>
      </c>
      <c r="E28" s="10">
        <f t="shared" si="9"/>
        <v>0</v>
      </c>
      <c r="F28" s="10">
        <f t="shared" si="9"/>
        <v>0</v>
      </c>
      <c r="G28" s="10">
        <f t="shared" si="9"/>
        <v>0</v>
      </c>
      <c r="H28" s="10">
        <f t="shared" si="9"/>
        <v>0</v>
      </c>
      <c r="I28" s="10">
        <f t="shared" si="9"/>
        <v>0</v>
      </c>
      <c r="J28" s="10">
        <f t="shared" si="9"/>
        <v>0</v>
      </c>
      <c r="K28" s="10">
        <f t="shared" si="9"/>
        <v>0</v>
      </c>
      <c r="L28" s="10">
        <f t="shared" si="9"/>
        <v>0</v>
      </c>
      <c r="M28" s="10">
        <f t="shared" si="9"/>
        <v>0</v>
      </c>
      <c r="N28" s="10">
        <f t="shared" si="9"/>
        <v>0</v>
      </c>
      <c r="O28" s="10">
        <f t="shared" si="9"/>
        <v>0</v>
      </c>
      <c r="P28" s="10">
        <f t="shared" si="9"/>
        <v>0</v>
      </c>
      <c r="Q28" s="10">
        <f t="shared" si="9"/>
        <v>0</v>
      </c>
      <c r="R28" s="10">
        <f t="shared" si="9"/>
        <v>0</v>
      </c>
      <c r="S28" s="10">
        <f t="shared" si="9"/>
        <v>0</v>
      </c>
      <c r="T28" s="10">
        <f t="shared" si="9"/>
        <v>0</v>
      </c>
      <c r="U28" s="10">
        <f t="shared" si="9"/>
        <v>0</v>
      </c>
      <c r="V28" s="10">
        <f t="shared" si="9"/>
        <v>0</v>
      </c>
      <c r="W28" s="10">
        <f t="shared" si="9"/>
        <v>0</v>
      </c>
      <c r="X28" s="10">
        <f t="shared" si="9"/>
        <v>0</v>
      </c>
      <c r="Y28" s="10">
        <f t="shared" si="9"/>
        <v>0</v>
      </c>
      <c r="Z28" s="10">
        <f t="shared" si="9"/>
        <v>0</v>
      </c>
      <c r="AA28" s="10">
        <f t="shared" si="9"/>
        <v>0</v>
      </c>
      <c r="AB28" s="10">
        <f t="shared" si="9"/>
        <v>0</v>
      </c>
      <c r="AC28" s="10">
        <f t="shared" si="9"/>
        <v>0</v>
      </c>
      <c r="AD28" s="10">
        <f t="shared" si="9"/>
        <v>0</v>
      </c>
      <c r="AE28" s="10">
        <f t="shared" ref="AE28" si="10">SUM(AE25:AE27)</f>
        <v>0</v>
      </c>
      <c r="AF28" s="10">
        <f t="shared" si="9"/>
        <v>0</v>
      </c>
      <c r="AG28" s="10">
        <f t="shared" si="9"/>
        <v>0</v>
      </c>
      <c r="AH28" s="10">
        <f t="shared" si="9"/>
        <v>0</v>
      </c>
      <c r="AI28" s="10">
        <f t="shared" si="9"/>
        <v>0</v>
      </c>
      <c r="AJ28" s="89">
        <f t="shared" si="9"/>
        <v>0</v>
      </c>
      <c r="AK28" s="89">
        <f t="shared" si="9"/>
        <v>0</v>
      </c>
      <c r="AL28" s="89">
        <f t="shared" si="9"/>
        <v>0</v>
      </c>
      <c r="AM28" s="89">
        <f t="shared" si="9"/>
        <v>0</v>
      </c>
      <c r="AN28" s="89">
        <f t="shared" si="9"/>
        <v>0</v>
      </c>
      <c r="AO28" s="89">
        <f t="shared" si="9"/>
        <v>0</v>
      </c>
      <c r="AP28" s="89">
        <f t="shared" si="9"/>
        <v>0</v>
      </c>
      <c r="AQ28" s="10">
        <f t="shared" si="9"/>
        <v>0</v>
      </c>
      <c r="AR28" s="10">
        <f t="shared" si="9"/>
        <v>0</v>
      </c>
      <c r="AS28" s="89">
        <f t="shared" si="9"/>
        <v>0</v>
      </c>
      <c r="AT28" s="10">
        <f t="shared" si="9"/>
        <v>0</v>
      </c>
      <c r="AU28" s="89">
        <f t="shared" si="9"/>
        <v>0</v>
      </c>
      <c r="AV28" s="89">
        <f t="shared" si="9"/>
        <v>0</v>
      </c>
      <c r="AW28" s="10">
        <f t="shared" si="9"/>
        <v>0</v>
      </c>
      <c r="AX28" s="10">
        <f t="shared" si="9"/>
        <v>0</v>
      </c>
      <c r="AY28" s="89">
        <f t="shared" si="9"/>
        <v>0</v>
      </c>
      <c r="AZ28" s="10">
        <f t="shared" si="9"/>
        <v>0</v>
      </c>
      <c r="BA28" s="10">
        <f t="shared" si="9"/>
        <v>0</v>
      </c>
      <c r="BB28" s="10">
        <f t="shared" si="9"/>
        <v>108483</v>
      </c>
      <c r="BC28" s="89">
        <f t="shared" si="9"/>
        <v>0</v>
      </c>
      <c r="BD28" s="89">
        <f t="shared" si="9"/>
        <v>0</v>
      </c>
      <c r="BE28" s="89">
        <f t="shared" si="9"/>
        <v>0</v>
      </c>
      <c r="BF28" s="89">
        <f t="shared" si="9"/>
        <v>0</v>
      </c>
      <c r="BG28" s="10">
        <f t="shared" si="9"/>
        <v>0</v>
      </c>
      <c r="BH28" s="10">
        <f t="shared" si="9"/>
        <v>0</v>
      </c>
      <c r="BI28" s="10">
        <f t="shared" si="9"/>
        <v>0</v>
      </c>
      <c r="BJ28" s="10">
        <f t="shared" si="9"/>
        <v>0</v>
      </c>
      <c r="BK28" s="10">
        <f t="shared" si="9"/>
        <v>0</v>
      </c>
      <c r="BL28" s="10">
        <f t="shared" si="9"/>
        <v>0</v>
      </c>
      <c r="BM28" s="10">
        <f t="shared" si="9"/>
        <v>0</v>
      </c>
      <c r="BN28" s="10">
        <f t="shared" si="9"/>
        <v>0</v>
      </c>
      <c r="BO28" s="10">
        <f t="shared" ref="BO28:CA28" si="11">SUM(BO25:BO27)</f>
        <v>0</v>
      </c>
      <c r="BP28" s="10">
        <f t="shared" si="11"/>
        <v>0</v>
      </c>
      <c r="BQ28" s="10">
        <f t="shared" si="11"/>
        <v>0</v>
      </c>
      <c r="BR28" s="10">
        <f t="shared" si="11"/>
        <v>0</v>
      </c>
      <c r="BS28" s="10">
        <f t="shared" si="11"/>
        <v>0</v>
      </c>
      <c r="BT28" s="10">
        <f t="shared" si="11"/>
        <v>0</v>
      </c>
      <c r="BU28" s="10">
        <f t="shared" si="11"/>
        <v>0</v>
      </c>
      <c r="BV28" s="10">
        <f t="shared" si="11"/>
        <v>0</v>
      </c>
      <c r="BW28" s="10">
        <f t="shared" si="11"/>
        <v>0</v>
      </c>
      <c r="BX28" s="89">
        <f t="shared" si="11"/>
        <v>0</v>
      </c>
      <c r="BY28" s="89">
        <f t="shared" si="11"/>
        <v>0</v>
      </c>
      <c r="BZ28" s="89">
        <f t="shared" si="11"/>
        <v>0</v>
      </c>
      <c r="CA28" s="10">
        <f t="shared" si="11"/>
        <v>108483</v>
      </c>
    </row>
    <row r="29" spans="1:79">
      <c r="A29" s="6" t="s">
        <v>106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87"/>
      <c r="AK29" s="87"/>
      <c r="AL29" s="87"/>
      <c r="AM29" s="87"/>
      <c r="AN29" s="87"/>
      <c r="AO29" s="87"/>
      <c r="AP29" s="87"/>
      <c r="AQ29" s="4"/>
      <c r="AR29" s="4"/>
      <c r="AS29" s="87"/>
      <c r="AT29" s="4"/>
      <c r="AU29" s="87"/>
      <c r="AV29" s="87"/>
      <c r="AW29" s="4"/>
      <c r="AX29" s="4"/>
      <c r="AY29" s="87"/>
      <c r="AZ29" s="4"/>
      <c r="BA29" s="4"/>
      <c r="BB29" s="4"/>
      <c r="BC29" s="87"/>
      <c r="BD29" s="87"/>
      <c r="BE29" s="87"/>
      <c r="BF29" s="87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87"/>
      <c r="BY29" s="87"/>
      <c r="BZ29" s="87"/>
      <c r="CA29" s="4"/>
    </row>
    <row r="30" spans="1:79">
      <c r="A30" s="78" t="s">
        <v>107</v>
      </c>
      <c r="B30" s="8">
        <f>'June 2024 YTD'!B30*2</f>
        <v>0</v>
      </c>
      <c r="C30" s="8">
        <f>'June 2024 YTD'!C30*2</f>
        <v>0</v>
      </c>
      <c r="D30" s="8">
        <f>'June 2024 YTD'!D30*2</f>
        <v>0</v>
      </c>
      <c r="E30" s="8">
        <f>'June 2024 YTD'!E30*2</f>
        <v>0</v>
      </c>
      <c r="F30" s="8">
        <f>'June 2024 YTD'!F30*2</f>
        <v>0</v>
      </c>
      <c r="G30" s="8">
        <f>'June 2024 YTD'!G30*2</f>
        <v>0</v>
      </c>
      <c r="H30" s="8">
        <f>'June 2024 YTD'!H30*2</f>
        <v>0</v>
      </c>
      <c r="I30" s="8">
        <f>'June 2024 YTD'!I30*2</f>
        <v>0</v>
      </c>
      <c r="J30" s="8">
        <f>'June 2024 YTD'!J30*2</f>
        <v>0</v>
      </c>
      <c r="K30" s="8">
        <f>'June 2024 YTD'!K30*2</f>
        <v>0</v>
      </c>
      <c r="L30" s="8">
        <f>'June 2024 YTD'!L30*2</f>
        <v>0</v>
      </c>
      <c r="M30" s="8">
        <f>'June 2024 YTD'!M30*2</f>
        <v>0</v>
      </c>
      <c r="N30" s="8">
        <f>'June 2024 YTD'!N30*2</f>
        <v>0</v>
      </c>
      <c r="O30" s="8">
        <f>'June 2024 YTD'!O30*2</f>
        <v>0</v>
      </c>
      <c r="P30" s="8">
        <f>'June 2024 YTD'!P30*2</f>
        <v>0</v>
      </c>
      <c r="Q30" s="8">
        <f>'June 2024 YTD'!Q30*2</f>
        <v>0</v>
      </c>
      <c r="R30" s="8">
        <f>'June 2024 YTD'!R30*2</f>
        <v>0</v>
      </c>
      <c r="S30" s="8">
        <f>'June 2024 YTD'!S30*2</f>
        <v>0</v>
      </c>
      <c r="T30" s="8">
        <f>'June 2024 YTD'!T30*2</f>
        <v>0</v>
      </c>
      <c r="U30" s="8">
        <f>'June 2024 YTD'!U30*2</f>
        <v>0</v>
      </c>
      <c r="V30" s="8">
        <f>'June 2024 YTD'!V30*2</f>
        <v>0</v>
      </c>
      <c r="W30" s="8">
        <f>'June 2024 YTD'!W30*2</f>
        <v>0</v>
      </c>
      <c r="X30" s="8">
        <f>'June 2024 YTD'!X30*2</f>
        <v>0</v>
      </c>
      <c r="Y30" s="8">
        <f>'June 2024 YTD'!Y30*2</f>
        <v>0</v>
      </c>
      <c r="Z30" s="8">
        <f>'June 2024 YTD'!Z30*2</f>
        <v>0</v>
      </c>
      <c r="AA30" s="8">
        <f>'June 2024 YTD'!AA30*2</f>
        <v>0</v>
      </c>
      <c r="AB30" s="8">
        <f>'June 2024 YTD'!AB30*2</f>
        <v>0</v>
      </c>
      <c r="AC30" s="8">
        <f>'June 2024 YTD'!AC30*2</f>
        <v>0</v>
      </c>
      <c r="AD30" s="8">
        <f>'June 2024 YTD'!AD30*2</f>
        <v>0</v>
      </c>
      <c r="AE30" s="8">
        <v>0</v>
      </c>
      <c r="AF30" s="8">
        <f>'June 2024 YTD'!AE30*2</f>
        <v>0</v>
      </c>
      <c r="AG30" s="8">
        <f>'June 2024 YTD'!AF30*2</f>
        <v>0</v>
      </c>
      <c r="AH30" s="8">
        <f>'June 2024 YTD'!AG30*2</f>
        <v>0</v>
      </c>
      <c r="AI30" s="8">
        <v>0</v>
      </c>
      <c r="AJ30" s="88">
        <v>0</v>
      </c>
      <c r="AK30" s="88">
        <v>0</v>
      </c>
      <c r="AL30" s="88">
        <v>0</v>
      </c>
      <c r="AM30" s="88">
        <v>0</v>
      </c>
      <c r="AN30" s="88">
        <v>0</v>
      </c>
      <c r="AO30" s="88">
        <v>0</v>
      </c>
      <c r="AP30" s="88">
        <v>0</v>
      </c>
      <c r="AQ30" s="8">
        <f>'June 2024 YTD'!AP30*2</f>
        <v>0</v>
      </c>
      <c r="AR30" s="8">
        <v>0</v>
      </c>
      <c r="AS30" s="88">
        <v>0</v>
      </c>
      <c r="AT30" s="8">
        <f>'June 2024 YTD'!AS30*2</f>
        <v>0</v>
      </c>
      <c r="AU30" s="88">
        <v>0</v>
      </c>
      <c r="AV30" s="88">
        <v>0</v>
      </c>
      <c r="AW30" s="8">
        <f>'June 2024 YTD'!AV30*2</f>
        <v>0</v>
      </c>
      <c r="AX30" s="8">
        <f>'June 2024 YTD'!AW30*2</f>
        <v>0</v>
      </c>
      <c r="AY30" s="88">
        <v>0</v>
      </c>
      <c r="AZ30" s="8">
        <f>'June 2024 YTD'!AY30*2</f>
        <v>0</v>
      </c>
      <c r="BA30" s="8">
        <f>'June 2024 YTD'!AZ30*2</f>
        <v>0</v>
      </c>
      <c r="BB30" s="8">
        <f>'June 2024 YTD'!BA30*2</f>
        <v>-12638.6</v>
      </c>
      <c r="BC30" s="88">
        <v>0</v>
      </c>
      <c r="BD30" s="88">
        <v>0</v>
      </c>
      <c r="BE30" s="88">
        <v>0</v>
      </c>
      <c r="BF30" s="88">
        <v>0</v>
      </c>
      <c r="BG30" s="8">
        <f>'June 2024 YTD'!BF30*2</f>
        <v>0</v>
      </c>
      <c r="BH30" s="8">
        <f>'June 2024 YTD'!BG30*2</f>
        <v>0</v>
      </c>
      <c r="BI30" s="8">
        <f>'June 2024 YTD'!BH30*2</f>
        <v>0</v>
      </c>
      <c r="BJ30" s="8">
        <f>'June 2024 YTD'!BI30*2</f>
        <v>0</v>
      </c>
      <c r="BK30" s="8">
        <f>'June 2024 YTD'!BJ30*2</f>
        <v>0</v>
      </c>
      <c r="BL30" s="8">
        <f>'June 2024 YTD'!BK30*2</f>
        <v>0</v>
      </c>
      <c r="BM30" s="8">
        <f>'June 2024 YTD'!BL30*2</f>
        <v>0</v>
      </c>
      <c r="BN30" s="8">
        <f>'June 2024 YTD'!BM30*2</f>
        <v>0</v>
      </c>
      <c r="BO30" s="8">
        <f>'June 2024 YTD'!BN30*2</f>
        <v>0</v>
      </c>
      <c r="BP30" s="8">
        <f>'June 2024 YTD'!BO30*2</f>
        <v>0</v>
      </c>
      <c r="BQ30" s="8">
        <f>'June 2024 YTD'!BP30*2</f>
        <v>0</v>
      </c>
      <c r="BR30" s="8">
        <f>'June 2024 YTD'!BQ30*2</f>
        <v>0</v>
      </c>
      <c r="BS30" s="8">
        <f>'June 2024 YTD'!BR30*2</f>
        <v>0</v>
      </c>
      <c r="BT30" s="8">
        <f>'June 2024 YTD'!BS30*2</f>
        <v>0</v>
      </c>
      <c r="BU30" s="8">
        <f>'June 2024 YTD'!BT30*2</f>
        <v>0</v>
      </c>
      <c r="BV30" s="8">
        <f>'June 2024 YTD'!BU30*2</f>
        <v>0</v>
      </c>
      <c r="BW30" s="8">
        <f>'June 2024 YTD'!BV30*2</f>
        <v>0</v>
      </c>
      <c r="BX30" s="88">
        <v>0</v>
      </c>
      <c r="BY30" s="88">
        <v>0</v>
      </c>
      <c r="BZ30" s="88">
        <v>0</v>
      </c>
      <c r="CA30" s="8">
        <f t="shared" ref="CA30:CA31" si="12">SUM(B30:BZ30)</f>
        <v>-12638.6</v>
      </c>
    </row>
    <row r="31" spans="1:79">
      <c r="A31" s="78" t="s">
        <v>108</v>
      </c>
      <c r="B31" s="8">
        <f>'June 2024 YTD'!B31*2</f>
        <v>0</v>
      </c>
      <c r="C31" s="8">
        <f>'June 2024 YTD'!C31*2</f>
        <v>0</v>
      </c>
      <c r="D31" s="8">
        <f>'June 2024 YTD'!D31*2</f>
        <v>0</v>
      </c>
      <c r="E31" s="8">
        <f>'June 2024 YTD'!E31*2</f>
        <v>0</v>
      </c>
      <c r="F31" s="8">
        <f>'June 2024 YTD'!F31*2</f>
        <v>0</v>
      </c>
      <c r="G31" s="8">
        <f>'June 2024 YTD'!G31*2</f>
        <v>0</v>
      </c>
      <c r="H31" s="8">
        <f>'June 2024 YTD'!H31*2</f>
        <v>0</v>
      </c>
      <c r="I31" s="8">
        <f>'June 2024 YTD'!I31*2</f>
        <v>0</v>
      </c>
      <c r="J31" s="8">
        <f>'June 2024 YTD'!J31*2</f>
        <v>0</v>
      </c>
      <c r="K31" s="8">
        <f>'June 2024 YTD'!K31*2</f>
        <v>0</v>
      </c>
      <c r="L31" s="8">
        <f>'June 2024 YTD'!L31*2</f>
        <v>0</v>
      </c>
      <c r="M31" s="8">
        <f>'June 2024 YTD'!M31*2</f>
        <v>0</v>
      </c>
      <c r="N31" s="8">
        <f>'June 2024 YTD'!N31*2</f>
        <v>0</v>
      </c>
      <c r="O31" s="8">
        <f>'June 2024 YTD'!O31*2</f>
        <v>0</v>
      </c>
      <c r="P31" s="8">
        <f>'June 2024 YTD'!P31*2</f>
        <v>0</v>
      </c>
      <c r="Q31" s="8">
        <f>'June 2024 YTD'!Q31*2</f>
        <v>0</v>
      </c>
      <c r="R31" s="8">
        <f>'June 2024 YTD'!R31*2</f>
        <v>0</v>
      </c>
      <c r="S31" s="8">
        <f>'June 2024 YTD'!S31*2</f>
        <v>0</v>
      </c>
      <c r="T31" s="8">
        <f>'June 2024 YTD'!T31*2</f>
        <v>0</v>
      </c>
      <c r="U31" s="8">
        <f>'June 2024 YTD'!U31*2</f>
        <v>0</v>
      </c>
      <c r="V31" s="8">
        <f>'June 2024 YTD'!V31*2</f>
        <v>0</v>
      </c>
      <c r="W31" s="8">
        <f>'June 2024 YTD'!W31*2</f>
        <v>0</v>
      </c>
      <c r="X31" s="8">
        <f>'June 2024 YTD'!X31*2</f>
        <v>0</v>
      </c>
      <c r="Y31" s="8">
        <f>'June 2024 YTD'!Y31*2</f>
        <v>0</v>
      </c>
      <c r="Z31" s="8">
        <f>'June 2024 YTD'!Z31*2</f>
        <v>0</v>
      </c>
      <c r="AA31" s="8">
        <f>'June 2024 YTD'!AA31*2</f>
        <v>0</v>
      </c>
      <c r="AB31" s="8">
        <f>'June 2024 YTD'!AB31*2</f>
        <v>0</v>
      </c>
      <c r="AC31" s="8">
        <f>'June 2024 YTD'!AC31*2</f>
        <v>0</v>
      </c>
      <c r="AD31" s="8">
        <f>'June 2024 YTD'!AD31*2</f>
        <v>0</v>
      </c>
      <c r="AE31" s="8">
        <v>0</v>
      </c>
      <c r="AF31" s="8">
        <f>'June 2024 YTD'!AE31*2</f>
        <v>0</v>
      </c>
      <c r="AG31" s="8">
        <f>'June 2024 YTD'!AF31*2</f>
        <v>0</v>
      </c>
      <c r="AH31" s="8">
        <f>'June 2024 YTD'!AG31*2</f>
        <v>0</v>
      </c>
      <c r="AI31" s="8">
        <v>0</v>
      </c>
      <c r="AJ31" s="88">
        <v>0</v>
      </c>
      <c r="AK31" s="88">
        <v>0</v>
      </c>
      <c r="AL31" s="88">
        <v>0</v>
      </c>
      <c r="AM31" s="88">
        <v>0</v>
      </c>
      <c r="AN31" s="88">
        <v>0</v>
      </c>
      <c r="AO31" s="88">
        <v>0</v>
      </c>
      <c r="AP31" s="88">
        <v>0</v>
      </c>
      <c r="AQ31" s="8">
        <f>'June 2024 YTD'!AP31*2</f>
        <v>0</v>
      </c>
      <c r="AR31" s="8">
        <v>0</v>
      </c>
      <c r="AS31" s="88">
        <v>0</v>
      </c>
      <c r="AT31" s="8">
        <f>'June 2024 YTD'!AS31*2</f>
        <v>0</v>
      </c>
      <c r="AU31" s="88">
        <v>0</v>
      </c>
      <c r="AV31" s="88">
        <v>0</v>
      </c>
      <c r="AW31" s="8">
        <f>'June 2024 YTD'!AV31*2</f>
        <v>0</v>
      </c>
      <c r="AX31" s="8">
        <f>'June 2024 YTD'!AW31*2</f>
        <v>0</v>
      </c>
      <c r="AY31" s="88">
        <v>0</v>
      </c>
      <c r="AZ31" s="8">
        <f>'June 2024 YTD'!AY31*2</f>
        <v>0</v>
      </c>
      <c r="BA31" s="8">
        <f>'June 2024 YTD'!AZ31*2</f>
        <v>0</v>
      </c>
      <c r="BB31" s="8">
        <f>'June 2024 YTD'!BA31*2</f>
        <v>70439.3</v>
      </c>
      <c r="BC31" s="88">
        <v>0</v>
      </c>
      <c r="BD31" s="88">
        <v>0</v>
      </c>
      <c r="BE31" s="88">
        <v>0</v>
      </c>
      <c r="BF31" s="88">
        <v>0</v>
      </c>
      <c r="BG31" s="8">
        <f>'June 2024 YTD'!BF31*2</f>
        <v>0</v>
      </c>
      <c r="BH31" s="8">
        <f>'June 2024 YTD'!BG31*2</f>
        <v>0</v>
      </c>
      <c r="BI31" s="8">
        <f>'June 2024 YTD'!BH31*2</f>
        <v>0</v>
      </c>
      <c r="BJ31" s="8">
        <f>'June 2024 YTD'!BI31*2</f>
        <v>0</v>
      </c>
      <c r="BK31" s="8">
        <f>'June 2024 YTD'!BJ31*2</f>
        <v>0</v>
      </c>
      <c r="BL31" s="8">
        <f>'June 2024 YTD'!BK31*2</f>
        <v>0</v>
      </c>
      <c r="BM31" s="8">
        <f>'June 2024 YTD'!BL31*2</f>
        <v>0</v>
      </c>
      <c r="BN31" s="8">
        <f>'June 2024 YTD'!BM31*2</f>
        <v>0</v>
      </c>
      <c r="BO31" s="8">
        <f>'June 2024 YTD'!BN31*2</f>
        <v>0</v>
      </c>
      <c r="BP31" s="8">
        <f>'June 2024 YTD'!BO31*2</f>
        <v>0</v>
      </c>
      <c r="BQ31" s="8">
        <f>'June 2024 YTD'!BP31*2</f>
        <v>0</v>
      </c>
      <c r="BR31" s="8">
        <f>'June 2024 YTD'!BQ31*2</f>
        <v>0</v>
      </c>
      <c r="BS31" s="8">
        <f>'June 2024 YTD'!BR31*2</f>
        <v>0</v>
      </c>
      <c r="BT31" s="8">
        <f>'June 2024 YTD'!BS31*2</f>
        <v>0</v>
      </c>
      <c r="BU31" s="8">
        <f>'June 2024 YTD'!BT31*2</f>
        <v>0</v>
      </c>
      <c r="BV31" s="8">
        <f>'June 2024 YTD'!BU31*2</f>
        <v>0</v>
      </c>
      <c r="BW31" s="8">
        <f>'June 2024 YTD'!BV31*2</f>
        <v>0</v>
      </c>
      <c r="BX31" s="88">
        <v>0</v>
      </c>
      <c r="BY31" s="88">
        <v>0</v>
      </c>
      <c r="BZ31" s="88">
        <v>0</v>
      </c>
      <c r="CA31" s="8">
        <f t="shared" si="12"/>
        <v>70439.3</v>
      </c>
    </row>
    <row r="32" spans="1:79">
      <c r="A32" s="9" t="s">
        <v>109</v>
      </c>
      <c r="B32" s="10">
        <f t="shared" ref="B32:BN32" si="13">SUM(B30:B31)</f>
        <v>0</v>
      </c>
      <c r="C32" s="10">
        <f t="shared" si="13"/>
        <v>0</v>
      </c>
      <c r="D32" s="10">
        <f t="shared" si="13"/>
        <v>0</v>
      </c>
      <c r="E32" s="10">
        <f t="shared" si="13"/>
        <v>0</v>
      </c>
      <c r="F32" s="10">
        <f t="shared" si="13"/>
        <v>0</v>
      </c>
      <c r="G32" s="10">
        <f t="shared" si="13"/>
        <v>0</v>
      </c>
      <c r="H32" s="10">
        <f t="shared" si="13"/>
        <v>0</v>
      </c>
      <c r="I32" s="10">
        <f t="shared" si="13"/>
        <v>0</v>
      </c>
      <c r="J32" s="10">
        <f t="shared" si="13"/>
        <v>0</v>
      </c>
      <c r="K32" s="10">
        <f t="shared" si="13"/>
        <v>0</v>
      </c>
      <c r="L32" s="10">
        <f t="shared" si="13"/>
        <v>0</v>
      </c>
      <c r="M32" s="10">
        <f t="shared" si="13"/>
        <v>0</v>
      </c>
      <c r="N32" s="10">
        <f t="shared" si="13"/>
        <v>0</v>
      </c>
      <c r="O32" s="10">
        <f t="shared" si="13"/>
        <v>0</v>
      </c>
      <c r="P32" s="10">
        <f t="shared" si="13"/>
        <v>0</v>
      </c>
      <c r="Q32" s="10">
        <f t="shared" si="13"/>
        <v>0</v>
      </c>
      <c r="R32" s="10">
        <f t="shared" si="13"/>
        <v>0</v>
      </c>
      <c r="S32" s="10">
        <f t="shared" si="13"/>
        <v>0</v>
      </c>
      <c r="T32" s="10">
        <f t="shared" si="13"/>
        <v>0</v>
      </c>
      <c r="U32" s="10">
        <f t="shared" si="13"/>
        <v>0</v>
      </c>
      <c r="V32" s="10">
        <f t="shared" si="13"/>
        <v>0</v>
      </c>
      <c r="W32" s="10">
        <f t="shared" si="13"/>
        <v>0</v>
      </c>
      <c r="X32" s="10">
        <f t="shared" si="13"/>
        <v>0</v>
      </c>
      <c r="Y32" s="10">
        <f t="shared" si="13"/>
        <v>0</v>
      </c>
      <c r="Z32" s="10">
        <f t="shared" si="13"/>
        <v>0</v>
      </c>
      <c r="AA32" s="10">
        <f t="shared" si="13"/>
        <v>0</v>
      </c>
      <c r="AB32" s="10">
        <f t="shared" si="13"/>
        <v>0</v>
      </c>
      <c r="AC32" s="10">
        <f t="shared" si="13"/>
        <v>0</v>
      </c>
      <c r="AD32" s="10">
        <f t="shared" si="13"/>
        <v>0</v>
      </c>
      <c r="AE32" s="10">
        <f t="shared" ref="AE32" si="14">SUM(AE30:AE31)</f>
        <v>0</v>
      </c>
      <c r="AF32" s="10">
        <f t="shared" si="13"/>
        <v>0</v>
      </c>
      <c r="AG32" s="10">
        <f t="shared" si="13"/>
        <v>0</v>
      </c>
      <c r="AH32" s="10">
        <f t="shared" si="13"/>
        <v>0</v>
      </c>
      <c r="AI32" s="10">
        <f t="shared" si="13"/>
        <v>0</v>
      </c>
      <c r="AJ32" s="89">
        <f t="shared" si="13"/>
        <v>0</v>
      </c>
      <c r="AK32" s="89">
        <f t="shared" si="13"/>
        <v>0</v>
      </c>
      <c r="AL32" s="89">
        <f t="shared" si="13"/>
        <v>0</v>
      </c>
      <c r="AM32" s="89">
        <f t="shared" si="13"/>
        <v>0</v>
      </c>
      <c r="AN32" s="89">
        <f t="shared" si="13"/>
        <v>0</v>
      </c>
      <c r="AO32" s="89">
        <f t="shared" si="13"/>
        <v>0</v>
      </c>
      <c r="AP32" s="89">
        <f t="shared" si="13"/>
        <v>0</v>
      </c>
      <c r="AQ32" s="10">
        <f t="shared" si="13"/>
        <v>0</v>
      </c>
      <c r="AR32" s="10">
        <f t="shared" si="13"/>
        <v>0</v>
      </c>
      <c r="AS32" s="89">
        <f t="shared" si="13"/>
        <v>0</v>
      </c>
      <c r="AT32" s="10">
        <f t="shared" si="13"/>
        <v>0</v>
      </c>
      <c r="AU32" s="89">
        <f t="shared" si="13"/>
        <v>0</v>
      </c>
      <c r="AV32" s="89">
        <f t="shared" si="13"/>
        <v>0</v>
      </c>
      <c r="AW32" s="10">
        <f t="shared" si="13"/>
        <v>0</v>
      </c>
      <c r="AX32" s="10">
        <f t="shared" si="13"/>
        <v>0</v>
      </c>
      <c r="AY32" s="89">
        <f t="shared" si="13"/>
        <v>0</v>
      </c>
      <c r="AZ32" s="10">
        <f t="shared" si="13"/>
        <v>0</v>
      </c>
      <c r="BA32" s="10">
        <f t="shared" si="13"/>
        <v>0</v>
      </c>
      <c r="BB32" s="10">
        <f t="shared" si="13"/>
        <v>57800.700000000004</v>
      </c>
      <c r="BC32" s="89">
        <f t="shared" si="13"/>
        <v>0</v>
      </c>
      <c r="BD32" s="89">
        <f t="shared" si="13"/>
        <v>0</v>
      </c>
      <c r="BE32" s="89">
        <f t="shared" si="13"/>
        <v>0</v>
      </c>
      <c r="BF32" s="89">
        <f t="shared" si="13"/>
        <v>0</v>
      </c>
      <c r="BG32" s="10">
        <f t="shared" si="13"/>
        <v>0</v>
      </c>
      <c r="BH32" s="10">
        <f t="shared" si="13"/>
        <v>0</v>
      </c>
      <c r="BI32" s="10">
        <f t="shared" si="13"/>
        <v>0</v>
      </c>
      <c r="BJ32" s="10">
        <f t="shared" si="13"/>
        <v>0</v>
      </c>
      <c r="BK32" s="10">
        <f t="shared" si="13"/>
        <v>0</v>
      </c>
      <c r="BL32" s="10">
        <f t="shared" si="13"/>
        <v>0</v>
      </c>
      <c r="BM32" s="10">
        <f t="shared" si="13"/>
        <v>0</v>
      </c>
      <c r="BN32" s="10">
        <f t="shared" si="13"/>
        <v>0</v>
      </c>
      <c r="BO32" s="10">
        <f t="shared" ref="BO32:CA32" si="15">SUM(BO30:BO31)</f>
        <v>0</v>
      </c>
      <c r="BP32" s="10">
        <f t="shared" si="15"/>
        <v>0</v>
      </c>
      <c r="BQ32" s="10">
        <f t="shared" si="15"/>
        <v>0</v>
      </c>
      <c r="BR32" s="10">
        <f t="shared" si="15"/>
        <v>0</v>
      </c>
      <c r="BS32" s="10">
        <f t="shared" si="15"/>
        <v>0</v>
      </c>
      <c r="BT32" s="10">
        <f t="shared" si="15"/>
        <v>0</v>
      </c>
      <c r="BU32" s="10">
        <f t="shared" si="15"/>
        <v>0</v>
      </c>
      <c r="BV32" s="10">
        <f t="shared" si="15"/>
        <v>0</v>
      </c>
      <c r="BW32" s="10">
        <f t="shared" si="15"/>
        <v>0</v>
      </c>
      <c r="BX32" s="89">
        <f t="shared" si="15"/>
        <v>0</v>
      </c>
      <c r="BY32" s="89">
        <f t="shared" si="15"/>
        <v>0</v>
      </c>
      <c r="BZ32" s="89">
        <f t="shared" si="15"/>
        <v>0</v>
      </c>
      <c r="CA32" s="10">
        <f t="shared" si="15"/>
        <v>57800.700000000004</v>
      </c>
    </row>
    <row r="33" spans="1:81">
      <c r="A33" s="12" t="s">
        <v>110</v>
      </c>
      <c r="B33" s="10">
        <f t="shared" ref="B33:BN33" si="16">SUM(B17,B22:B23,B28,B32)</f>
        <v>0</v>
      </c>
      <c r="C33" s="10">
        <f t="shared" si="16"/>
        <v>1140956.1958797988</v>
      </c>
      <c r="D33" s="10">
        <f t="shared" si="16"/>
        <v>665173.918027704</v>
      </c>
      <c r="E33" s="10">
        <f t="shared" si="16"/>
        <v>120241.60919476481</v>
      </c>
      <c r="F33" s="10">
        <f t="shared" si="16"/>
        <v>128412.23300485245</v>
      </c>
      <c r="G33" s="10">
        <f t="shared" si="16"/>
        <v>74826.711759028971</v>
      </c>
      <c r="H33" s="10">
        <f t="shared" si="16"/>
        <v>201160.59130261626</v>
      </c>
      <c r="I33" s="10">
        <f t="shared" si="16"/>
        <v>322451.71050927386</v>
      </c>
      <c r="J33" s="10">
        <f t="shared" si="16"/>
        <v>642168.30311329814</v>
      </c>
      <c r="K33" s="10">
        <f t="shared" si="16"/>
        <v>269325</v>
      </c>
      <c r="L33" s="10">
        <f t="shared" si="16"/>
        <v>47276</v>
      </c>
      <c r="M33" s="10">
        <f t="shared" si="16"/>
        <v>184806.75</v>
      </c>
      <c r="N33" s="10">
        <f t="shared" si="16"/>
        <v>348599.91</v>
      </c>
      <c r="O33" s="10">
        <f t="shared" si="16"/>
        <v>80847.64</v>
      </c>
      <c r="P33" s="10">
        <f t="shared" si="16"/>
        <v>9049</v>
      </c>
      <c r="Q33" s="10">
        <f t="shared" si="16"/>
        <v>9240</v>
      </c>
      <c r="R33" s="10">
        <f t="shared" si="16"/>
        <v>9884</v>
      </c>
      <c r="S33" s="10">
        <f t="shared" si="16"/>
        <v>21266.91</v>
      </c>
      <c r="T33" s="10">
        <f t="shared" si="16"/>
        <v>53996</v>
      </c>
      <c r="U33" s="10">
        <f t="shared" si="16"/>
        <v>89750</v>
      </c>
      <c r="V33" s="10">
        <f t="shared" si="16"/>
        <v>68071</v>
      </c>
      <c r="W33" s="10">
        <f t="shared" si="16"/>
        <v>78002</v>
      </c>
      <c r="X33" s="10">
        <f t="shared" si="16"/>
        <v>193364.74</v>
      </c>
      <c r="Y33" s="10">
        <f t="shared" si="16"/>
        <v>33792</v>
      </c>
      <c r="Z33" s="10">
        <f t="shared" si="16"/>
        <v>65256</v>
      </c>
      <c r="AA33" s="10">
        <f t="shared" si="16"/>
        <v>28700</v>
      </c>
      <c r="AB33" s="10">
        <f t="shared" si="16"/>
        <v>410395.26</v>
      </c>
      <c r="AC33" s="10">
        <f t="shared" si="16"/>
        <v>13745.779788751157</v>
      </c>
      <c r="AD33" s="10">
        <f t="shared" si="16"/>
        <v>5727.6263587298672</v>
      </c>
      <c r="AE33" s="10">
        <f t="shared" ref="AE33" si="17">SUM(AE17,AE22:AE23,AE28,AE32)</f>
        <v>13772</v>
      </c>
      <c r="AF33" s="10">
        <f t="shared" si="16"/>
        <v>7519</v>
      </c>
      <c r="AG33" s="10">
        <f t="shared" si="16"/>
        <v>3195207.6195999999</v>
      </c>
      <c r="AH33" s="10">
        <f t="shared" si="16"/>
        <v>1282279.1978</v>
      </c>
      <c r="AI33" s="10">
        <f t="shared" si="16"/>
        <v>0</v>
      </c>
      <c r="AJ33" s="89">
        <f t="shared" si="16"/>
        <v>0</v>
      </c>
      <c r="AK33" s="89">
        <f t="shared" si="16"/>
        <v>0</v>
      </c>
      <c r="AL33" s="89">
        <f t="shared" si="16"/>
        <v>0</v>
      </c>
      <c r="AM33" s="89">
        <f t="shared" si="16"/>
        <v>0</v>
      </c>
      <c r="AN33" s="89">
        <f t="shared" si="16"/>
        <v>0</v>
      </c>
      <c r="AO33" s="89">
        <f t="shared" si="16"/>
        <v>0</v>
      </c>
      <c r="AP33" s="89">
        <f t="shared" si="16"/>
        <v>0</v>
      </c>
      <c r="AQ33" s="10">
        <f t="shared" si="16"/>
        <v>36869</v>
      </c>
      <c r="AR33" s="10">
        <f t="shared" si="16"/>
        <v>6400</v>
      </c>
      <c r="AS33" s="89">
        <f t="shared" si="16"/>
        <v>0</v>
      </c>
      <c r="AT33" s="10">
        <f t="shared" si="16"/>
        <v>9490.2947417090072</v>
      </c>
      <c r="AU33" s="89">
        <f t="shared" si="16"/>
        <v>0</v>
      </c>
      <c r="AV33" s="89">
        <f t="shared" si="16"/>
        <v>0</v>
      </c>
      <c r="AW33" s="10">
        <f t="shared" si="16"/>
        <v>217810.99994708653</v>
      </c>
      <c r="AX33" s="10">
        <f t="shared" si="16"/>
        <v>59633</v>
      </c>
      <c r="AY33" s="89">
        <f t="shared" si="16"/>
        <v>0</v>
      </c>
      <c r="AZ33" s="10">
        <f t="shared" si="16"/>
        <v>290793.98637238599</v>
      </c>
      <c r="BA33" s="10">
        <f t="shared" si="16"/>
        <v>0</v>
      </c>
      <c r="BB33" s="10">
        <f t="shared" si="16"/>
        <v>166283.70000000001</v>
      </c>
      <c r="BC33" s="89">
        <f t="shared" si="16"/>
        <v>0</v>
      </c>
      <c r="BD33" s="89">
        <f t="shared" si="16"/>
        <v>0</v>
      </c>
      <c r="BE33" s="89">
        <f t="shared" si="16"/>
        <v>0</v>
      </c>
      <c r="BF33" s="89">
        <f t="shared" si="16"/>
        <v>0</v>
      </c>
      <c r="BG33" s="10">
        <f t="shared" si="16"/>
        <v>0</v>
      </c>
      <c r="BH33" s="10">
        <f t="shared" si="16"/>
        <v>0</v>
      </c>
      <c r="BI33" s="10">
        <f t="shared" si="16"/>
        <v>110000</v>
      </c>
      <c r="BJ33" s="10">
        <f t="shared" si="16"/>
        <v>1946621</v>
      </c>
      <c r="BK33" s="10">
        <f t="shared" si="16"/>
        <v>720231</v>
      </c>
      <c r="BL33" s="10">
        <f t="shared" si="16"/>
        <v>2988687</v>
      </c>
      <c r="BM33" s="10">
        <f t="shared" si="16"/>
        <v>34900</v>
      </c>
      <c r="BN33" s="10">
        <f t="shared" si="16"/>
        <v>634124</v>
      </c>
      <c r="BO33" s="10">
        <f t="shared" ref="BO33:CA33" si="18">SUM(BO17,BO22:BO23,BO28,BO32)</f>
        <v>1315864</v>
      </c>
      <c r="BP33" s="10">
        <f t="shared" si="18"/>
        <v>72745</v>
      </c>
      <c r="BQ33" s="10">
        <f t="shared" si="18"/>
        <v>350311</v>
      </c>
      <c r="BR33" s="10">
        <f t="shared" si="18"/>
        <v>105571</v>
      </c>
      <c r="BS33" s="10">
        <f t="shared" si="18"/>
        <v>4434346.0199999996</v>
      </c>
      <c r="BT33" s="10">
        <f t="shared" si="18"/>
        <v>8832038</v>
      </c>
      <c r="BU33" s="10">
        <f t="shared" si="18"/>
        <v>760178</v>
      </c>
      <c r="BV33" s="10">
        <f t="shared" si="18"/>
        <v>256925</v>
      </c>
      <c r="BW33" s="10">
        <f t="shared" si="18"/>
        <v>460917</v>
      </c>
      <c r="BX33" s="89">
        <f t="shared" si="18"/>
        <v>0</v>
      </c>
      <c r="BY33" s="89">
        <f t="shared" si="18"/>
        <v>0</v>
      </c>
      <c r="BZ33" s="89">
        <f t="shared" si="18"/>
        <v>0</v>
      </c>
      <c r="CA33" s="10">
        <f t="shared" si="18"/>
        <v>33626003.707400009</v>
      </c>
      <c r="CC33" s="21">
        <f>CA33-BW33-BV33-BU33-BT33-BS33-BR33-BQ33-BP33-BO33-BN33-BM33-BL33-BK33-BJ33-BB33</f>
        <v>10546261.98740001</v>
      </c>
    </row>
    <row r="34" spans="1:81">
      <c r="A34" s="13" t="s">
        <v>111</v>
      </c>
      <c r="B34" s="14">
        <f t="shared" ref="B34:BN34" si="19">B33-0</f>
        <v>0</v>
      </c>
      <c r="C34" s="14">
        <f t="shared" si="19"/>
        <v>1140956.1958797988</v>
      </c>
      <c r="D34" s="14">
        <f t="shared" si="19"/>
        <v>665173.918027704</v>
      </c>
      <c r="E34" s="14">
        <f t="shared" si="19"/>
        <v>120241.60919476481</v>
      </c>
      <c r="F34" s="14">
        <f t="shared" si="19"/>
        <v>128412.23300485245</v>
      </c>
      <c r="G34" s="14">
        <f t="shared" si="19"/>
        <v>74826.711759028971</v>
      </c>
      <c r="H34" s="14">
        <f t="shared" si="19"/>
        <v>201160.59130261626</v>
      </c>
      <c r="I34" s="14">
        <f t="shared" si="19"/>
        <v>322451.71050927386</v>
      </c>
      <c r="J34" s="14">
        <f t="shared" si="19"/>
        <v>642168.30311329814</v>
      </c>
      <c r="K34" s="14">
        <f t="shared" si="19"/>
        <v>269325</v>
      </c>
      <c r="L34" s="14">
        <f t="shared" si="19"/>
        <v>47276</v>
      </c>
      <c r="M34" s="14">
        <f t="shared" si="19"/>
        <v>184806.75</v>
      </c>
      <c r="N34" s="14">
        <f t="shared" si="19"/>
        <v>348599.91</v>
      </c>
      <c r="O34" s="14">
        <f t="shared" si="19"/>
        <v>80847.64</v>
      </c>
      <c r="P34" s="14">
        <f t="shared" si="19"/>
        <v>9049</v>
      </c>
      <c r="Q34" s="14">
        <f t="shared" si="19"/>
        <v>9240</v>
      </c>
      <c r="R34" s="14">
        <f t="shared" si="19"/>
        <v>9884</v>
      </c>
      <c r="S34" s="14">
        <f t="shared" si="19"/>
        <v>21266.91</v>
      </c>
      <c r="T34" s="14">
        <f t="shared" si="19"/>
        <v>53996</v>
      </c>
      <c r="U34" s="14">
        <f t="shared" si="19"/>
        <v>89750</v>
      </c>
      <c r="V34" s="14">
        <f t="shared" si="19"/>
        <v>68071</v>
      </c>
      <c r="W34" s="14">
        <f t="shared" si="19"/>
        <v>78002</v>
      </c>
      <c r="X34" s="14">
        <f t="shared" si="19"/>
        <v>193364.74</v>
      </c>
      <c r="Y34" s="14">
        <f t="shared" si="19"/>
        <v>33792</v>
      </c>
      <c r="Z34" s="14">
        <f t="shared" si="19"/>
        <v>65256</v>
      </c>
      <c r="AA34" s="14">
        <f t="shared" si="19"/>
        <v>28700</v>
      </c>
      <c r="AB34" s="14">
        <f t="shared" si="19"/>
        <v>410395.26</v>
      </c>
      <c r="AC34" s="14">
        <f t="shared" si="19"/>
        <v>13745.779788751157</v>
      </c>
      <c r="AD34" s="14">
        <f t="shared" si="19"/>
        <v>5727.6263587298672</v>
      </c>
      <c r="AE34" s="14">
        <f t="shared" ref="AE34" si="20">AE33-0</f>
        <v>13772</v>
      </c>
      <c r="AF34" s="14">
        <f t="shared" si="19"/>
        <v>7519</v>
      </c>
      <c r="AG34" s="14">
        <f t="shared" si="19"/>
        <v>3195207.6195999999</v>
      </c>
      <c r="AH34" s="14">
        <f t="shared" si="19"/>
        <v>1282279.1978</v>
      </c>
      <c r="AI34" s="14">
        <f t="shared" si="19"/>
        <v>0</v>
      </c>
      <c r="AJ34" s="91">
        <f t="shared" si="19"/>
        <v>0</v>
      </c>
      <c r="AK34" s="91">
        <f t="shared" si="19"/>
        <v>0</v>
      </c>
      <c r="AL34" s="91">
        <f t="shared" si="19"/>
        <v>0</v>
      </c>
      <c r="AM34" s="91">
        <f t="shared" si="19"/>
        <v>0</v>
      </c>
      <c r="AN34" s="91">
        <f t="shared" si="19"/>
        <v>0</v>
      </c>
      <c r="AO34" s="91">
        <f t="shared" si="19"/>
        <v>0</v>
      </c>
      <c r="AP34" s="91">
        <f t="shared" si="19"/>
        <v>0</v>
      </c>
      <c r="AQ34" s="14">
        <f t="shared" si="19"/>
        <v>36869</v>
      </c>
      <c r="AR34" s="14">
        <f t="shared" si="19"/>
        <v>6400</v>
      </c>
      <c r="AS34" s="91">
        <f t="shared" si="19"/>
        <v>0</v>
      </c>
      <c r="AT34" s="14">
        <f t="shared" si="19"/>
        <v>9490.2947417090072</v>
      </c>
      <c r="AU34" s="91">
        <f t="shared" si="19"/>
        <v>0</v>
      </c>
      <c r="AV34" s="91">
        <f t="shared" si="19"/>
        <v>0</v>
      </c>
      <c r="AW34" s="14">
        <f t="shared" si="19"/>
        <v>217810.99994708653</v>
      </c>
      <c r="AX34" s="14">
        <f t="shared" si="19"/>
        <v>59633</v>
      </c>
      <c r="AY34" s="91">
        <f t="shared" si="19"/>
        <v>0</v>
      </c>
      <c r="AZ34" s="14">
        <f t="shared" si="19"/>
        <v>290793.98637238599</v>
      </c>
      <c r="BA34" s="14">
        <f t="shared" si="19"/>
        <v>0</v>
      </c>
      <c r="BB34" s="14">
        <f t="shared" si="19"/>
        <v>166283.70000000001</v>
      </c>
      <c r="BC34" s="91">
        <f t="shared" si="19"/>
        <v>0</v>
      </c>
      <c r="BD34" s="91">
        <f t="shared" si="19"/>
        <v>0</v>
      </c>
      <c r="BE34" s="91">
        <f t="shared" si="19"/>
        <v>0</v>
      </c>
      <c r="BF34" s="91">
        <f t="shared" si="19"/>
        <v>0</v>
      </c>
      <c r="BG34" s="14">
        <f t="shared" si="19"/>
        <v>0</v>
      </c>
      <c r="BH34" s="14">
        <f t="shared" si="19"/>
        <v>0</v>
      </c>
      <c r="BI34" s="14">
        <f t="shared" si="19"/>
        <v>110000</v>
      </c>
      <c r="BJ34" s="14">
        <f t="shared" si="19"/>
        <v>1946621</v>
      </c>
      <c r="BK34" s="14">
        <f t="shared" si="19"/>
        <v>720231</v>
      </c>
      <c r="BL34" s="14">
        <f t="shared" si="19"/>
        <v>2988687</v>
      </c>
      <c r="BM34" s="14">
        <f t="shared" si="19"/>
        <v>34900</v>
      </c>
      <c r="BN34" s="14">
        <f t="shared" si="19"/>
        <v>634124</v>
      </c>
      <c r="BO34" s="14">
        <f t="shared" ref="BO34:CA34" si="21">BO33-0</f>
        <v>1315864</v>
      </c>
      <c r="BP34" s="14">
        <f t="shared" si="21"/>
        <v>72745</v>
      </c>
      <c r="BQ34" s="14">
        <f t="shared" si="21"/>
        <v>350311</v>
      </c>
      <c r="BR34" s="14">
        <f t="shared" si="21"/>
        <v>105571</v>
      </c>
      <c r="BS34" s="14">
        <f t="shared" si="21"/>
        <v>4434346.0199999996</v>
      </c>
      <c r="BT34" s="14">
        <f t="shared" si="21"/>
        <v>8832038</v>
      </c>
      <c r="BU34" s="14">
        <f t="shared" si="21"/>
        <v>760178</v>
      </c>
      <c r="BV34" s="14">
        <f t="shared" si="21"/>
        <v>256925</v>
      </c>
      <c r="BW34" s="14">
        <f t="shared" si="21"/>
        <v>460917</v>
      </c>
      <c r="BX34" s="91">
        <f t="shared" si="21"/>
        <v>0</v>
      </c>
      <c r="BY34" s="91">
        <f t="shared" si="21"/>
        <v>0</v>
      </c>
      <c r="BZ34" s="91">
        <f t="shared" si="21"/>
        <v>0</v>
      </c>
      <c r="CA34" s="14">
        <f t="shared" si="21"/>
        <v>33626003.707400009</v>
      </c>
    </row>
    <row r="35" spans="1:81">
      <c r="A35" s="5" t="s">
        <v>112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87"/>
      <c r="AK35" s="87"/>
      <c r="AL35" s="87"/>
      <c r="AM35" s="87"/>
      <c r="AN35" s="87"/>
      <c r="AO35" s="87"/>
      <c r="AP35" s="87"/>
      <c r="AQ35" s="4"/>
      <c r="AR35" s="4"/>
      <c r="AS35" s="87"/>
      <c r="AT35" s="4"/>
      <c r="AU35" s="87"/>
      <c r="AV35" s="87"/>
      <c r="AW35" s="4"/>
      <c r="AX35" s="4"/>
      <c r="AY35" s="87"/>
      <c r="AZ35" s="4"/>
      <c r="BA35" s="4"/>
      <c r="BB35" s="4"/>
      <c r="BC35" s="87"/>
      <c r="BD35" s="87"/>
      <c r="BE35" s="87"/>
      <c r="BF35" s="87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87"/>
      <c r="BY35" s="87"/>
      <c r="BZ35" s="87"/>
      <c r="CA35" s="4"/>
    </row>
    <row r="36" spans="1:81">
      <c r="A36" s="6" t="s">
        <v>113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87"/>
      <c r="AK36" s="87"/>
      <c r="AL36" s="87"/>
      <c r="AM36" s="87"/>
      <c r="AN36" s="87"/>
      <c r="AO36" s="87"/>
      <c r="AP36" s="87"/>
      <c r="AQ36" s="4"/>
      <c r="AR36" s="4"/>
      <c r="AS36" s="87"/>
      <c r="AT36" s="4"/>
      <c r="AU36" s="87"/>
      <c r="AV36" s="87"/>
      <c r="AW36" s="4"/>
      <c r="AX36" s="4"/>
      <c r="AY36" s="87"/>
      <c r="AZ36" s="4"/>
      <c r="BA36" s="4"/>
      <c r="BB36" s="4"/>
      <c r="BC36" s="87"/>
      <c r="BD36" s="87"/>
      <c r="BE36" s="87"/>
      <c r="BF36" s="87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87"/>
      <c r="BY36" s="87"/>
      <c r="BZ36" s="87"/>
      <c r="CA36" s="4"/>
    </row>
    <row r="37" spans="1:81">
      <c r="A37" s="78" t="s">
        <v>114</v>
      </c>
      <c r="B37" s="8">
        <f>'June 2024 YTD'!B37*2</f>
        <v>0</v>
      </c>
      <c r="C37" s="8">
        <f>'2026 Labor Alloc $$'!H76</f>
        <v>514783.13817056239</v>
      </c>
      <c r="D37" s="8">
        <f>'2026 Labor Alloc $$'!I76</f>
        <v>370053.45350697497</v>
      </c>
      <c r="E37" s="8">
        <f>'2026 Labor Alloc $$'!J76</f>
        <v>73556.812120999995</v>
      </c>
      <c r="F37" s="8">
        <f>'2026 Labor Alloc $$'!K76</f>
        <v>92541.7396305</v>
      </c>
      <c r="G37" s="8">
        <f>'2026 Labor Alloc $$'!L76</f>
        <v>36295.393836000003</v>
      </c>
      <c r="H37" s="8">
        <f>'2026 Labor Alloc $$'!M76</f>
        <v>103454.494362375</v>
      </c>
      <c r="I37" s="8">
        <f>'2026 Labor Alloc $$'!N76</f>
        <v>180588.52430775002</v>
      </c>
      <c r="J37" s="8">
        <f>'2026 Labor Alloc $$'!O76</f>
        <v>474519.82223962498</v>
      </c>
      <c r="K37" s="8">
        <f>'2026 Labor Alloc $$'!P76</f>
        <v>136959.07138862499</v>
      </c>
      <c r="L37" s="8">
        <f>'2026 Labor Alloc $$'!Q76</f>
        <v>14637.80250928125</v>
      </c>
      <c r="M37" s="8">
        <f>'2026 Labor Alloc $$'!R76</f>
        <v>118120.62234375</v>
      </c>
      <c r="N37" s="8">
        <f>'2026 Labor Alloc $$'!S76</f>
        <v>211478.97562837502</v>
      </c>
      <c r="O37" s="8">
        <f>'2026 Labor Alloc $$'!T76</f>
        <v>79319.587039875012</v>
      </c>
      <c r="P37" s="8">
        <f>'2026 Labor Alloc $$'!AK76</f>
        <v>0</v>
      </c>
      <c r="Q37" s="8">
        <f>'2026 Labor Alloc $$'!AL76</f>
        <v>2282.9950000000003</v>
      </c>
      <c r="R37" s="8">
        <f>'2026 Labor Alloc $$'!AM76</f>
        <v>3196.1930000000002</v>
      </c>
      <c r="S37" s="8">
        <f>'2026 Labor Alloc $$'!U76</f>
        <v>13366.852707</v>
      </c>
      <c r="T37" s="8">
        <f>'2026 Labor Alloc $$'!AN76</f>
        <v>9131.9800000000014</v>
      </c>
      <c r="U37" s="8">
        <f>'2026 Labor Alloc $$'!V76</f>
        <v>58815.646597500003</v>
      </c>
      <c r="V37" s="8">
        <f>'2026 Labor Alloc $$'!W76</f>
        <v>44697.812176874999</v>
      </c>
      <c r="W37" s="8">
        <f>'2026 Labor Alloc $$'!X76</f>
        <v>51396.119828625</v>
      </c>
      <c r="X37" s="8">
        <f>'2026 Labor Alloc $$'!Y76</f>
        <v>121570.61460375</v>
      </c>
      <c r="Y37" s="8">
        <f>'2026 Labor Alloc $$'!Z76</f>
        <v>22162.509651562501</v>
      </c>
      <c r="Z37" s="8">
        <f>'2026 Labor Alloc $$'!AA76</f>
        <v>42573.184692499999</v>
      </c>
      <c r="AA37" s="8">
        <f>'2026 Labor Alloc $$'!AB76</f>
        <v>16772.915211</v>
      </c>
      <c r="AB37" s="8">
        <f>'2026 Labor Alloc $$'!AC76</f>
        <v>266655.82042125001</v>
      </c>
      <c r="AC37" s="8">
        <f>'2026 Labor Alloc $$'!AF76</f>
        <v>7551.3819614999993</v>
      </c>
      <c r="AD37" s="8">
        <f>'2026 Labor Alloc $$'!AG76</f>
        <v>3487.0050539999997</v>
      </c>
      <c r="AE37" s="8" t="e">
        <f>'2026 Labor Alloc $$'!#REF!</f>
        <v>#REF!</v>
      </c>
      <c r="AF37" s="8">
        <v>0</v>
      </c>
      <c r="AG37" s="8">
        <f>'2026 Labor Alloc $$'!AH76</f>
        <v>244536.797739</v>
      </c>
      <c r="AH37" s="8">
        <f>'2026 Labor Alloc $$'!AI76</f>
        <v>130499.75190646877</v>
      </c>
      <c r="AI37" s="8">
        <v>0</v>
      </c>
      <c r="AJ37" s="88">
        <v>0</v>
      </c>
      <c r="AK37" s="88">
        <v>0</v>
      </c>
      <c r="AL37" s="88">
        <v>0</v>
      </c>
      <c r="AM37" s="88">
        <v>0</v>
      </c>
      <c r="AN37" s="88">
        <v>0</v>
      </c>
      <c r="AO37" s="88">
        <v>0</v>
      </c>
      <c r="AP37" s="88">
        <v>0</v>
      </c>
      <c r="AQ37" s="8">
        <f>'2026 Labor Alloc $$'!AJ76</f>
        <v>31243.544114249999</v>
      </c>
      <c r="AR37" s="8">
        <v>0</v>
      </c>
      <c r="AS37" s="88">
        <v>0</v>
      </c>
      <c r="AT37" s="8">
        <v>0</v>
      </c>
      <c r="AU37" s="88">
        <v>0</v>
      </c>
      <c r="AV37" s="88">
        <v>0</v>
      </c>
      <c r="AW37" s="8">
        <f>'2026 Labor Alloc $$'!AS76</f>
        <v>84353.799372124995</v>
      </c>
      <c r="AX37" s="8">
        <f>'2026 Labor Alloc $$'!AT76</f>
        <v>22669.613458874999</v>
      </c>
      <c r="AY37" s="88">
        <v>0</v>
      </c>
      <c r="AZ37" s="8">
        <f>'2026 Labor Alloc $$'!AU76</f>
        <v>236651.84135839995</v>
      </c>
      <c r="BA37" s="8">
        <f>'2026 Labor Alloc $$'!AV76</f>
        <v>91856.303824999995</v>
      </c>
      <c r="BB37" s="8">
        <v>0</v>
      </c>
      <c r="BC37" s="88">
        <v>0</v>
      </c>
      <c r="BD37" s="88">
        <v>0</v>
      </c>
      <c r="BE37" s="88">
        <v>0</v>
      </c>
      <c r="BF37" s="88">
        <v>0</v>
      </c>
      <c r="BG37" s="8">
        <v>0</v>
      </c>
      <c r="BH37" s="8">
        <v>0</v>
      </c>
      <c r="BI37" s="93" t="e">
        <f>'2026 Labor Alloc $$'!#REF!</f>
        <v>#REF!</v>
      </c>
      <c r="BJ37" s="8">
        <v>0</v>
      </c>
      <c r="BK37" s="8">
        <v>0</v>
      </c>
      <c r="BL37" s="8">
        <v>0</v>
      </c>
      <c r="BM37" s="8">
        <v>0</v>
      </c>
      <c r="BN37" s="8">
        <v>0</v>
      </c>
      <c r="BO37" s="8">
        <v>0</v>
      </c>
      <c r="BP37" s="8">
        <v>0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0</v>
      </c>
      <c r="BX37" s="88">
        <v>0</v>
      </c>
      <c r="BY37" s="88">
        <v>0</v>
      </c>
      <c r="BZ37" s="88">
        <v>0</v>
      </c>
      <c r="CA37" s="8" t="e">
        <f>SUM(B37:BZ37)</f>
        <v>#REF!</v>
      </c>
    </row>
    <row r="38" spans="1:81">
      <c r="A38" s="78" t="s">
        <v>115</v>
      </c>
      <c r="B38" s="8">
        <v>0</v>
      </c>
      <c r="C38" s="8">
        <f>C37*'June 2024 YTD'!$CB$38</f>
        <v>6235.2308146660644</v>
      </c>
      <c r="D38" s="8">
        <f>D37*'June 2024 YTD'!$CB$38</f>
        <v>4482.2149858680668</v>
      </c>
      <c r="E38" s="8">
        <f>E37*'June 2024 YTD'!$CB$38</f>
        <v>890.94546335645452</v>
      </c>
      <c r="F38" s="8">
        <f>F37*'June 2024 YTD'!$CB$38</f>
        <v>1120.8974494337738</v>
      </c>
      <c r="G38" s="8">
        <f>G37*'June 2024 YTD'!$CB$38</f>
        <v>439.6223211213358</v>
      </c>
      <c r="H38" s="8">
        <f>H37*'June 2024 YTD'!$CB$38</f>
        <v>1253.0764963600061</v>
      </c>
      <c r="I38" s="8">
        <f>I37*'June 2024 YTD'!$CB$38</f>
        <v>2187.3504550680814</v>
      </c>
      <c r="J38" s="8">
        <f>J37*'June 2024 YTD'!$CB$38</f>
        <v>5747.5476533927522</v>
      </c>
      <c r="K38" s="8">
        <f>K37*'June 2024 YTD'!$CB$38</f>
        <v>1658.8954822903672</v>
      </c>
      <c r="L38" s="8">
        <f>L37*'June 2024 YTD'!$CB$38</f>
        <v>177.29810962577858</v>
      </c>
      <c r="M38" s="8">
        <f>M37*'June 2024 YTD'!$CB$38</f>
        <v>1430.7176938675414</v>
      </c>
      <c r="N38" s="8">
        <f>N37*'June 2024 YTD'!$CB$38</f>
        <v>2561.5062493658465</v>
      </c>
      <c r="O38" s="8">
        <f>O37*'June 2024 YTD'!$CB$38</f>
        <v>960.74617959562715</v>
      </c>
      <c r="P38" s="8">
        <f>P37*'June 2024 YTD'!$CB$38</f>
        <v>0</v>
      </c>
      <c r="Q38" s="8">
        <f>Q37*'June 2024 YTD'!$CB$38</f>
        <v>27.652422385699996</v>
      </c>
      <c r="R38" s="8">
        <f>R37*'June 2024 YTD'!$CB$38</f>
        <v>38.713391339979992</v>
      </c>
      <c r="S38" s="8">
        <f>S37*'June 2024 YTD'!$CB$38</f>
        <v>161.90392752564125</v>
      </c>
      <c r="T38" s="8">
        <f>T37*'June 2024 YTD'!$CB$38</f>
        <v>110.60968954279998</v>
      </c>
      <c r="U38" s="8">
        <f>U37*'June 2024 YTD'!$CB$38</f>
        <v>712.39538527334867</v>
      </c>
      <c r="V38" s="8">
        <f>V37*'June 2024 YTD'!$CB$38</f>
        <v>541.39530836976519</v>
      </c>
      <c r="W38" s="8">
        <f>W37*'June 2024 YTD'!$CB$38</f>
        <v>622.52751954655582</v>
      </c>
      <c r="X38" s="8">
        <f>X37*'June 2024 YTD'!$CB$38</f>
        <v>1472.5051893289485</v>
      </c>
      <c r="Y38" s="8">
        <f>Y37*'June 2024 YTD'!$CB$38</f>
        <v>268.43995629081934</v>
      </c>
      <c r="Z38" s="8">
        <f>Z37*'June 2024 YTD'!$CB$38</f>
        <v>515.66108792241209</v>
      </c>
      <c r="AA38" s="8">
        <f>AA37*'June 2024 YTD'!$CB$38</f>
        <v>203.15933063984122</v>
      </c>
      <c r="AB38" s="8">
        <f>AB37*'June 2024 YTD'!$CB$38</f>
        <v>3229.8272128908611</v>
      </c>
      <c r="AC38" s="8">
        <f>AC37*'June 2024 YTD'!$CB$38</f>
        <v>91.46494127019713</v>
      </c>
      <c r="AD38" s="8">
        <f>AD37*'June 2024 YTD'!$CB$38</f>
        <v>42.235807180602066</v>
      </c>
      <c r="AE38" s="8" t="e">
        <f>AE37*'June 2024 YTD'!$CB$38</f>
        <v>#REF!</v>
      </c>
      <c r="AF38" s="8">
        <f>AF37*'June 2024 YTD'!$CB$38</f>
        <v>0</v>
      </c>
      <c r="AG38" s="8">
        <f>AG37*'June 2024 YTD'!$CB$38</f>
        <v>2961.9139857622617</v>
      </c>
      <c r="AH38" s="8">
        <f>AH37*'June 2024 YTD'!$CB$38</f>
        <v>1580.6579782026383</v>
      </c>
      <c r="AI38" s="8">
        <v>0</v>
      </c>
      <c r="AJ38" s="88">
        <v>0</v>
      </c>
      <c r="AK38" s="88">
        <v>0</v>
      </c>
      <c r="AL38" s="88">
        <v>0</v>
      </c>
      <c r="AM38" s="88">
        <v>0</v>
      </c>
      <c r="AN38" s="88">
        <v>0</v>
      </c>
      <c r="AO38" s="88">
        <v>0</v>
      </c>
      <c r="AP38" s="88">
        <v>0</v>
      </c>
      <c r="AQ38" s="8">
        <f>AQ37*'June 2024 YTD'!$CB$38</f>
        <v>378.43257592482325</v>
      </c>
      <c r="AR38" s="8">
        <f>AR37*'June 2024 YTD'!$CB$38</f>
        <v>0</v>
      </c>
      <c r="AS38" s="88">
        <v>0</v>
      </c>
      <c r="AT38" s="8">
        <f>AT37*'June 2024 YTD'!$CB$38</f>
        <v>0</v>
      </c>
      <c r="AU38" s="88">
        <v>0</v>
      </c>
      <c r="AV38" s="88">
        <v>0</v>
      </c>
      <c r="AW38" s="8">
        <f>AW37*'June 2024 YTD'!$CB$38</f>
        <v>1021.7222946509279</v>
      </c>
      <c r="AX38" s="8">
        <f>AX37*'June 2024 YTD'!$CB$38</f>
        <v>274.58217240307619</v>
      </c>
      <c r="AY38" s="88">
        <v>0</v>
      </c>
      <c r="AZ38" s="8">
        <f>AZ37*'June 2024 YTD'!$CB$38</f>
        <v>2866.4086761452136</v>
      </c>
      <c r="BA38" s="8">
        <f>BA37*'June 2024 YTD'!$CB$38</f>
        <v>1112.5952146886391</v>
      </c>
      <c r="BB38" s="8">
        <f>BB37*'June 2024 YTD'!$CB$38</f>
        <v>0</v>
      </c>
      <c r="BC38" s="88">
        <v>0</v>
      </c>
      <c r="BD38" s="88">
        <v>0</v>
      </c>
      <c r="BE38" s="88">
        <v>0</v>
      </c>
      <c r="BF38" s="88">
        <v>0</v>
      </c>
      <c r="BG38" s="8">
        <v>0</v>
      </c>
      <c r="BH38" s="8">
        <f>BH37*'June 2024 YTD'!$CB$38</f>
        <v>0</v>
      </c>
      <c r="BI38" s="8" t="e">
        <f>BI37*'June 2024 YTD'!$CB$38</f>
        <v>#REF!</v>
      </c>
      <c r="BJ38" s="8">
        <f>BJ37*'June 2024 YTD'!$CB$38</f>
        <v>0</v>
      </c>
      <c r="BK38" s="8">
        <f>BK37*'June 2024 YTD'!$CB$38</f>
        <v>0</v>
      </c>
      <c r="BL38" s="8">
        <f>BL37*'June 2024 YTD'!$CB$38</f>
        <v>0</v>
      </c>
      <c r="BM38" s="8">
        <f>BM37*'June 2024 YTD'!$CB$38</f>
        <v>0</v>
      </c>
      <c r="BN38" s="8">
        <f>BN37*'June 2024 YTD'!$CB$38</f>
        <v>0</v>
      </c>
      <c r="BO38" s="8">
        <f>BO37*'June 2024 YTD'!$CB$38</f>
        <v>0</v>
      </c>
      <c r="BP38" s="8">
        <f>BP37*'June 2024 YTD'!$CB$38</f>
        <v>0</v>
      </c>
      <c r="BQ38" s="8">
        <f>BQ37*'June 2024 YTD'!$CB$38</f>
        <v>0</v>
      </c>
      <c r="BR38" s="8">
        <f>BR37*'June 2024 YTD'!$CB$38</f>
        <v>0</v>
      </c>
      <c r="BS38" s="8">
        <f>BS37*'June 2024 YTD'!$CB$38</f>
        <v>0</v>
      </c>
      <c r="BT38" s="8">
        <f>BT37*'June 2024 YTD'!$CB$38</f>
        <v>0</v>
      </c>
      <c r="BU38" s="8">
        <f>BU37*'June 2024 YTD'!$CB$38</f>
        <v>0</v>
      </c>
      <c r="BV38" s="8">
        <f>BV37*'June 2024 YTD'!$CB$38</f>
        <v>0</v>
      </c>
      <c r="BW38" s="8">
        <f>BW37*'June 2024 YTD'!$CB$38</f>
        <v>0</v>
      </c>
      <c r="BX38" s="88">
        <v>0</v>
      </c>
      <c r="BY38" s="88">
        <v>0</v>
      </c>
      <c r="BZ38" s="88">
        <v>0</v>
      </c>
      <c r="CA38" s="8" t="e">
        <f t="shared" ref="CA38:CA39" si="22">SUM(B38:BZ38)</f>
        <v>#REF!</v>
      </c>
    </row>
    <row r="39" spans="1:81">
      <c r="A39" s="78" t="s">
        <v>116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8">
        <v>0</v>
      </c>
      <c r="AK39" s="88">
        <v>0</v>
      </c>
      <c r="AL39" s="88">
        <v>0</v>
      </c>
      <c r="AM39" s="88">
        <v>0</v>
      </c>
      <c r="AN39" s="88">
        <v>0</v>
      </c>
      <c r="AO39" s="88">
        <v>0</v>
      </c>
      <c r="AP39" s="88">
        <v>0</v>
      </c>
      <c r="AQ39" s="8">
        <v>0</v>
      </c>
      <c r="AR39" s="8">
        <v>0</v>
      </c>
      <c r="AS39" s="88">
        <v>0</v>
      </c>
      <c r="AT39" s="8">
        <v>0</v>
      </c>
      <c r="AU39" s="88">
        <v>0</v>
      </c>
      <c r="AV39" s="88">
        <v>0</v>
      </c>
      <c r="AW39" s="8">
        <v>0</v>
      </c>
      <c r="AX39" s="8">
        <v>0</v>
      </c>
      <c r="AY39" s="88">
        <v>0</v>
      </c>
      <c r="AZ39" s="8">
        <v>0</v>
      </c>
      <c r="BA39" s="8">
        <v>0</v>
      </c>
      <c r="BB39" s="8">
        <f>'Comp 25-26'!U71</f>
        <v>34700</v>
      </c>
      <c r="BC39" s="88">
        <v>0</v>
      </c>
      <c r="BD39" s="88">
        <v>0</v>
      </c>
      <c r="BE39" s="88">
        <v>0</v>
      </c>
      <c r="BF39" s="8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</v>
      </c>
      <c r="BL39" s="8">
        <v>0</v>
      </c>
      <c r="BM39" s="8">
        <v>0</v>
      </c>
      <c r="BN39" s="8">
        <v>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0</v>
      </c>
      <c r="BU39" s="8">
        <v>0</v>
      </c>
      <c r="BV39" s="8">
        <v>0</v>
      </c>
      <c r="BW39" s="8">
        <v>0</v>
      </c>
      <c r="BX39" s="88">
        <v>0</v>
      </c>
      <c r="BY39" s="88">
        <v>0</v>
      </c>
      <c r="BZ39" s="88">
        <v>0</v>
      </c>
      <c r="CA39" s="8">
        <f t="shared" si="22"/>
        <v>34700</v>
      </c>
    </row>
    <row r="40" spans="1:81">
      <c r="A40" s="9" t="s">
        <v>117</v>
      </c>
      <c r="B40" s="10">
        <f t="shared" ref="B40:BN40" si="23">SUM(B37:B39)</f>
        <v>0</v>
      </c>
      <c r="C40" s="10">
        <f t="shared" si="23"/>
        <v>521018.36898522847</v>
      </c>
      <c r="D40" s="10">
        <f t="shared" si="23"/>
        <v>374535.66849284305</v>
      </c>
      <c r="E40" s="10">
        <f t="shared" si="23"/>
        <v>74447.757584356455</v>
      </c>
      <c r="F40" s="10">
        <f t="shared" si="23"/>
        <v>93662.637079933775</v>
      </c>
      <c r="G40" s="10">
        <f t="shared" si="23"/>
        <v>36735.016157121339</v>
      </c>
      <c r="H40" s="10">
        <f t="shared" si="23"/>
        <v>104707.57085873501</v>
      </c>
      <c r="I40" s="10">
        <f t="shared" si="23"/>
        <v>182775.8747628181</v>
      </c>
      <c r="J40" s="10">
        <f t="shared" si="23"/>
        <v>480267.36989301775</v>
      </c>
      <c r="K40" s="10">
        <f t="shared" si="23"/>
        <v>138617.96687091535</v>
      </c>
      <c r="L40" s="10">
        <f t="shared" si="23"/>
        <v>14815.100618907029</v>
      </c>
      <c r="M40" s="10">
        <f t="shared" si="23"/>
        <v>119551.34003761754</v>
      </c>
      <c r="N40" s="10">
        <f t="shared" si="23"/>
        <v>214040.48187774085</v>
      </c>
      <c r="O40" s="10">
        <f t="shared" si="23"/>
        <v>80280.333219470645</v>
      </c>
      <c r="P40" s="10">
        <f t="shared" si="23"/>
        <v>0</v>
      </c>
      <c r="Q40" s="10">
        <f t="shared" si="23"/>
        <v>2310.6474223857003</v>
      </c>
      <c r="R40" s="10">
        <f t="shared" si="23"/>
        <v>3234.90639133998</v>
      </c>
      <c r="S40" s="10">
        <f t="shared" si="23"/>
        <v>13528.756634525642</v>
      </c>
      <c r="T40" s="10">
        <f t="shared" si="23"/>
        <v>9242.5896895428014</v>
      </c>
      <c r="U40" s="10">
        <f t="shared" si="23"/>
        <v>59528.041982773349</v>
      </c>
      <c r="V40" s="10">
        <f t="shared" si="23"/>
        <v>45239.207485244762</v>
      </c>
      <c r="W40" s="10">
        <f t="shared" si="23"/>
        <v>52018.647348171558</v>
      </c>
      <c r="X40" s="10">
        <f t="shared" si="23"/>
        <v>123043.11979307895</v>
      </c>
      <c r="Y40" s="10">
        <f t="shared" si="23"/>
        <v>22430.949607853319</v>
      </c>
      <c r="Z40" s="10">
        <f t="shared" si="23"/>
        <v>43088.845780422409</v>
      </c>
      <c r="AA40" s="10">
        <f t="shared" si="23"/>
        <v>16976.074541639842</v>
      </c>
      <c r="AB40" s="10">
        <f t="shared" si="23"/>
        <v>269885.64763414086</v>
      </c>
      <c r="AC40" s="10">
        <f t="shared" si="23"/>
        <v>7642.8469027701967</v>
      </c>
      <c r="AD40" s="10">
        <f t="shared" si="23"/>
        <v>3529.2408611806018</v>
      </c>
      <c r="AE40" s="10" t="e">
        <f t="shared" ref="AE40" si="24">SUM(AE37:AE39)</f>
        <v>#REF!</v>
      </c>
      <c r="AF40" s="10">
        <f t="shared" si="23"/>
        <v>0</v>
      </c>
      <c r="AG40" s="10">
        <f t="shared" si="23"/>
        <v>247498.71172476225</v>
      </c>
      <c r="AH40" s="10">
        <f t="shared" si="23"/>
        <v>132080.40988467139</v>
      </c>
      <c r="AI40" s="10">
        <f t="shared" si="23"/>
        <v>0</v>
      </c>
      <c r="AJ40" s="89">
        <f t="shared" si="23"/>
        <v>0</v>
      </c>
      <c r="AK40" s="89">
        <f t="shared" si="23"/>
        <v>0</v>
      </c>
      <c r="AL40" s="89">
        <f t="shared" si="23"/>
        <v>0</v>
      </c>
      <c r="AM40" s="89">
        <f t="shared" si="23"/>
        <v>0</v>
      </c>
      <c r="AN40" s="89">
        <f t="shared" si="23"/>
        <v>0</v>
      </c>
      <c r="AO40" s="89">
        <f t="shared" si="23"/>
        <v>0</v>
      </c>
      <c r="AP40" s="89">
        <f t="shared" si="23"/>
        <v>0</v>
      </c>
      <c r="AQ40" s="10">
        <f t="shared" si="23"/>
        <v>31621.976690174823</v>
      </c>
      <c r="AR40" s="10">
        <f t="shared" si="23"/>
        <v>0</v>
      </c>
      <c r="AS40" s="89">
        <f t="shared" si="23"/>
        <v>0</v>
      </c>
      <c r="AT40" s="10">
        <f t="shared" si="23"/>
        <v>0</v>
      </c>
      <c r="AU40" s="89">
        <f t="shared" si="23"/>
        <v>0</v>
      </c>
      <c r="AV40" s="89">
        <f t="shared" si="23"/>
        <v>0</v>
      </c>
      <c r="AW40" s="10">
        <f t="shared" si="23"/>
        <v>85375.521666775923</v>
      </c>
      <c r="AX40" s="10">
        <f t="shared" si="23"/>
        <v>22944.195631278075</v>
      </c>
      <c r="AY40" s="89">
        <f t="shared" si="23"/>
        <v>0</v>
      </c>
      <c r="AZ40" s="10">
        <f t="shared" si="23"/>
        <v>239518.25003454517</v>
      </c>
      <c r="BA40" s="10">
        <f t="shared" si="23"/>
        <v>92968.899039688637</v>
      </c>
      <c r="BB40" s="10">
        <f t="shared" si="23"/>
        <v>34700</v>
      </c>
      <c r="BC40" s="89">
        <f t="shared" si="23"/>
        <v>0</v>
      </c>
      <c r="BD40" s="89">
        <f t="shared" si="23"/>
        <v>0</v>
      </c>
      <c r="BE40" s="89">
        <f t="shared" si="23"/>
        <v>0</v>
      </c>
      <c r="BF40" s="89">
        <f t="shared" si="23"/>
        <v>0</v>
      </c>
      <c r="BG40" s="10">
        <f t="shared" si="23"/>
        <v>0</v>
      </c>
      <c r="BH40" s="10">
        <f t="shared" si="23"/>
        <v>0</v>
      </c>
      <c r="BI40" s="10" t="e">
        <f t="shared" si="23"/>
        <v>#REF!</v>
      </c>
      <c r="BJ40" s="10">
        <f t="shared" si="23"/>
        <v>0</v>
      </c>
      <c r="BK40" s="10">
        <f t="shared" si="23"/>
        <v>0</v>
      </c>
      <c r="BL40" s="10">
        <f t="shared" si="23"/>
        <v>0</v>
      </c>
      <c r="BM40" s="10">
        <f t="shared" si="23"/>
        <v>0</v>
      </c>
      <c r="BN40" s="10">
        <f t="shared" si="23"/>
        <v>0</v>
      </c>
      <c r="BO40" s="10">
        <f t="shared" ref="BO40:CA40" si="25">SUM(BO37:BO39)</f>
        <v>0</v>
      </c>
      <c r="BP40" s="10">
        <f t="shared" si="25"/>
        <v>0</v>
      </c>
      <c r="BQ40" s="10">
        <f t="shared" si="25"/>
        <v>0</v>
      </c>
      <c r="BR40" s="10">
        <f t="shared" si="25"/>
        <v>0</v>
      </c>
      <c r="BS40" s="10">
        <f t="shared" si="25"/>
        <v>0</v>
      </c>
      <c r="BT40" s="10">
        <f t="shared" si="25"/>
        <v>0</v>
      </c>
      <c r="BU40" s="10">
        <f t="shared" si="25"/>
        <v>0</v>
      </c>
      <c r="BV40" s="10">
        <f t="shared" si="25"/>
        <v>0</v>
      </c>
      <c r="BW40" s="10">
        <f t="shared" si="25"/>
        <v>0</v>
      </c>
      <c r="BX40" s="89">
        <f t="shared" si="25"/>
        <v>0</v>
      </c>
      <c r="BY40" s="89">
        <f t="shared" si="25"/>
        <v>0</v>
      </c>
      <c r="BZ40" s="89">
        <f t="shared" si="25"/>
        <v>0</v>
      </c>
      <c r="CA40" s="10" t="e">
        <f t="shared" si="25"/>
        <v>#REF!</v>
      </c>
    </row>
    <row r="41" spans="1:81">
      <c r="A41" s="6" t="s">
        <v>118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87"/>
      <c r="AK41" s="87"/>
      <c r="AL41" s="87"/>
      <c r="AM41" s="87"/>
      <c r="AN41" s="87"/>
      <c r="AO41" s="87"/>
      <c r="AP41" s="87"/>
      <c r="AQ41" s="4"/>
      <c r="AR41" s="4"/>
      <c r="AS41" s="87"/>
      <c r="AT41" s="4"/>
      <c r="AU41" s="87"/>
      <c r="AV41" s="87"/>
      <c r="AW41" s="4"/>
      <c r="AX41" s="4"/>
      <c r="AY41" s="87"/>
      <c r="AZ41" s="4"/>
      <c r="BA41" s="4"/>
      <c r="BB41" s="4"/>
      <c r="BC41" s="87"/>
      <c r="BD41" s="87"/>
      <c r="BE41" s="87"/>
      <c r="BF41" s="87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87"/>
      <c r="BY41" s="87"/>
      <c r="BZ41" s="87"/>
      <c r="CA41" s="4"/>
    </row>
    <row r="42" spans="1:81">
      <c r="A42" s="78" t="s">
        <v>119</v>
      </c>
      <c r="B42" s="8">
        <f>'June 2024 YTD'!B42*2</f>
        <v>0</v>
      </c>
      <c r="C42" s="8">
        <f t="shared" ref="C42:AH42" si="26">C37*0.0765</f>
        <v>39380.910070048019</v>
      </c>
      <c r="D42" s="8">
        <f t="shared" si="26"/>
        <v>28309.089193283584</v>
      </c>
      <c r="E42" s="8">
        <f t="shared" si="26"/>
        <v>5627.0961272564991</v>
      </c>
      <c r="F42" s="8">
        <f t="shared" si="26"/>
        <v>7079.4430817332495</v>
      </c>
      <c r="G42" s="8">
        <f t="shared" si="26"/>
        <v>2776.5976284540002</v>
      </c>
      <c r="H42" s="8">
        <f t="shared" si="26"/>
        <v>7914.2688187216872</v>
      </c>
      <c r="I42" s="8">
        <f t="shared" si="26"/>
        <v>13815.022109542877</v>
      </c>
      <c r="J42" s="8">
        <f t="shared" si="26"/>
        <v>36300.766401331311</v>
      </c>
      <c r="K42" s="8">
        <f t="shared" si="26"/>
        <v>10477.368961229811</v>
      </c>
      <c r="L42" s="8">
        <f t="shared" si="26"/>
        <v>1119.7918919600156</v>
      </c>
      <c r="M42" s="8">
        <f t="shared" si="26"/>
        <v>9036.227609296875</v>
      </c>
      <c r="N42" s="8">
        <f t="shared" si="26"/>
        <v>16178.141635570688</v>
      </c>
      <c r="O42" s="8">
        <f t="shared" si="26"/>
        <v>6067.9484085504382</v>
      </c>
      <c r="P42" s="8">
        <f t="shared" si="26"/>
        <v>0</v>
      </c>
      <c r="Q42" s="8">
        <f t="shared" si="26"/>
        <v>174.64911750000002</v>
      </c>
      <c r="R42" s="8">
        <f t="shared" si="26"/>
        <v>244.50876450000001</v>
      </c>
      <c r="S42" s="8">
        <f t="shared" si="26"/>
        <v>1022.5642320855</v>
      </c>
      <c r="T42" s="8">
        <f t="shared" si="26"/>
        <v>698.59647000000007</v>
      </c>
      <c r="U42" s="8">
        <f t="shared" si="26"/>
        <v>4499.3969647087497</v>
      </c>
      <c r="V42" s="8">
        <f t="shared" si="26"/>
        <v>3419.3826315309375</v>
      </c>
      <c r="W42" s="8">
        <f t="shared" si="26"/>
        <v>3931.8031668898125</v>
      </c>
      <c r="X42" s="8">
        <f t="shared" si="26"/>
        <v>9300.1520171868742</v>
      </c>
      <c r="Y42" s="8">
        <f t="shared" si="26"/>
        <v>1695.4319883445312</v>
      </c>
      <c r="Z42" s="8">
        <f t="shared" si="26"/>
        <v>3256.84862897625</v>
      </c>
      <c r="AA42" s="8">
        <f t="shared" si="26"/>
        <v>1283.1280136415</v>
      </c>
      <c r="AB42" s="8">
        <f t="shared" si="26"/>
        <v>20399.170262225627</v>
      </c>
      <c r="AC42" s="8">
        <f t="shared" si="26"/>
        <v>577.68072005474994</v>
      </c>
      <c r="AD42" s="8">
        <f t="shared" si="26"/>
        <v>266.75588663099995</v>
      </c>
      <c r="AE42" s="8" t="e">
        <f t="shared" ref="AE42" si="27">AE37*0.0765</f>
        <v>#REF!</v>
      </c>
      <c r="AF42" s="8">
        <f t="shared" si="26"/>
        <v>0</v>
      </c>
      <c r="AG42" s="8">
        <f t="shared" si="26"/>
        <v>18707.065027033499</v>
      </c>
      <c r="AH42" s="8">
        <f t="shared" si="26"/>
        <v>9983.2310208448598</v>
      </c>
      <c r="AI42" s="8">
        <v>0</v>
      </c>
      <c r="AJ42" s="88">
        <v>0</v>
      </c>
      <c r="AK42" s="88">
        <v>0</v>
      </c>
      <c r="AL42" s="88">
        <v>0</v>
      </c>
      <c r="AM42" s="88">
        <v>0</v>
      </c>
      <c r="AN42" s="88">
        <v>0</v>
      </c>
      <c r="AO42" s="88">
        <v>0</v>
      </c>
      <c r="AP42" s="88">
        <v>0</v>
      </c>
      <c r="AQ42" s="8">
        <f>AQ37*0.0765</f>
        <v>2390.131124740125</v>
      </c>
      <c r="AR42" s="8">
        <f>AR37*0.0765</f>
        <v>0</v>
      </c>
      <c r="AS42" s="88">
        <v>0</v>
      </c>
      <c r="AT42" s="8">
        <f>AT37*0.0765</f>
        <v>0</v>
      </c>
      <c r="AU42" s="88">
        <v>0</v>
      </c>
      <c r="AV42" s="88">
        <v>0</v>
      </c>
      <c r="AW42" s="8">
        <f>AW37*0.0765</f>
        <v>6453.0656519675622</v>
      </c>
      <c r="AX42" s="8">
        <f>AX37*0.0765</f>
        <v>1734.2254296039373</v>
      </c>
      <c r="AY42" s="88">
        <v>0</v>
      </c>
      <c r="AZ42" s="8">
        <f>AZ37*0.0765</f>
        <v>18103.865863917596</v>
      </c>
      <c r="BA42" s="8">
        <f>BA37*0.0765</f>
        <v>7027.0072426124998</v>
      </c>
      <c r="BB42" s="8">
        <f>BB37*0.0765</f>
        <v>0</v>
      </c>
      <c r="BC42" s="88">
        <v>0</v>
      </c>
      <c r="BD42" s="88">
        <v>0</v>
      </c>
      <c r="BE42" s="88">
        <v>0</v>
      </c>
      <c r="BF42" s="88">
        <v>0</v>
      </c>
      <c r="BG42" s="8">
        <f t="shared" ref="BG42:BW42" si="28">BG37*0.0765</f>
        <v>0</v>
      </c>
      <c r="BH42" s="8">
        <f t="shared" si="28"/>
        <v>0</v>
      </c>
      <c r="BI42" s="8" t="e">
        <f t="shared" si="28"/>
        <v>#REF!</v>
      </c>
      <c r="BJ42" s="8">
        <f t="shared" si="28"/>
        <v>0</v>
      </c>
      <c r="BK42" s="8">
        <f t="shared" si="28"/>
        <v>0</v>
      </c>
      <c r="BL42" s="8">
        <f t="shared" si="28"/>
        <v>0</v>
      </c>
      <c r="BM42" s="8">
        <f t="shared" si="28"/>
        <v>0</v>
      </c>
      <c r="BN42" s="8">
        <f t="shared" si="28"/>
        <v>0</v>
      </c>
      <c r="BO42" s="8">
        <f t="shared" si="28"/>
        <v>0</v>
      </c>
      <c r="BP42" s="8">
        <f t="shared" si="28"/>
        <v>0</v>
      </c>
      <c r="BQ42" s="8">
        <f t="shared" si="28"/>
        <v>0</v>
      </c>
      <c r="BR42" s="8">
        <f t="shared" si="28"/>
        <v>0</v>
      </c>
      <c r="BS42" s="8">
        <f t="shared" si="28"/>
        <v>0</v>
      </c>
      <c r="BT42" s="8">
        <f t="shared" si="28"/>
        <v>0</v>
      </c>
      <c r="BU42" s="8">
        <f t="shared" si="28"/>
        <v>0</v>
      </c>
      <c r="BV42" s="8">
        <f t="shared" si="28"/>
        <v>0</v>
      </c>
      <c r="BW42" s="8">
        <f t="shared" si="28"/>
        <v>0</v>
      </c>
      <c r="BX42" s="88">
        <v>0</v>
      </c>
      <c r="BY42" s="88">
        <v>0</v>
      </c>
      <c r="BZ42" s="88">
        <v>0</v>
      </c>
      <c r="CA42" s="8" t="e">
        <f t="shared" ref="CA42:CA43" si="29">SUM(B42:BZ42)</f>
        <v>#REF!</v>
      </c>
    </row>
    <row r="43" spans="1:81">
      <c r="A43" s="78" t="s">
        <v>120</v>
      </c>
      <c r="B43" s="8">
        <f>'June 2024 YTD'!B43*2</f>
        <v>0</v>
      </c>
      <c r="C43" s="8">
        <f t="shared" ref="C43:AH43" si="30">C37*0.019</f>
        <v>9780.8796252406846</v>
      </c>
      <c r="D43" s="8">
        <f t="shared" si="30"/>
        <v>7031.0156166325241</v>
      </c>
      <c r="E43" s="8">
        <f t="shared" si="30"/>
        <v>1397.5794302989998</v>
      </c>
      <c r="F43" s="8">
        <f t="shared" si="30"/>
        <v>1758.2930529794999</v>
      </c>
      <c r="G43" s="8">
        <f t="shared" si="30"/>
        <v>689.61248288400009</v>
      </c>
      <c r="H43" s="8">
        <f t="shared" si="30"/>
        <v>1965.6353928851249</v>
      </c>
      <c r="I43" s="8">
        <f t="shared" si="30"/>
        <v>3431.1819618472505</v>
      </c>
      <c r="J43" s="8">
        <f t="shared" si="30"/>
        <v>9015.8766225528743</v>
      </c>
      <c r="K43" s="8">
        <f t="shared" si="30"/>
        <v>2602.2223563838747</v>
      </c>
      <c r="L43" s="8">
        <f t="shared" si="30"/>
        <v>278.11824767634374</v>
      </c>
      <c r="M43" s="8">
        <f t="shared" si="30"/>
        <v>2244.2918245312499</v>
      </c>
      <c r="N43" s="8">
        <f t="shared" si="30"/>
        <v>4018.100536939125</v>
      </c>
      <c r="O43" s="8">
        <f t="shared" si="30"/>
        <v>1507.0721537576253</v>
      </c>
      <c r="P43" s="8">
        <f t="shared" si="30"/>
        <v>0</v>
      </c>
      <c r="Q43" s="8">
        <f t="shared" si="30"/>
        <v>43.376905000000008</v>
      </c>
      <c r="R43" s="8">
        <f t="shared" si="30"/>
        <v>60.727667000000004</v>
      </c>
      <c r="S43" s="8">
        <f t="shared" si="30"/>
        <v>253.970201433</v>
      </c>
      <c r="T43" s="8">
        <f t="shared" si="30"/>
        <v>173.50762000000003</v>
      </c>
      <c r="U43" s="8">
        <f t="shared" si="30"/>
        <v>1117.4972853525001</v>
      </c>
      <c r="V43" s="8">
        <f t="shared" si="30"/>
        <v>849.25843136062497</v>
      </c>
      <c r="W43" s="8">
        <f t="shared" si="30"/>
        <v>976.52627674387497</v>
      </c>
      <c r="X43" s="8">
        <f t="shared" si="30"/>
        <v>2309.84167747125</v>
      </c>
      <c r="Y43" s="8">
        <f t="shared" si="30"/>
        <v>421.08768337968752</v>
      </c>
      <c r="Z43" s="8">
        <f t="shared" si="30"/>
        <v>808.89050915749999</v>
      </c>
      <c r="AA43" s="8">
        <f t="shared" si="30"/>
        <v>318.685389009</v>
      </c>
      <c r="AB43" s="8">
        <f t="shared" si="30"/>
        <v>5066.4605880037498</v>
      </c>
      <c r="AC43" s="8">
        <f t="shared" si="30"/>
        <v>143.47625726849998</v>
      </c>
      <c r="AD43" s="8">
        <f t="shared" si="30"/>
        <v>66.253096025999994</v>
      </c>
      <c r="AE43" s="8" t="e">
        <f t="shared" ref="AE43" si="31">AE37*0.019</f>
        <v>#REF!</v>
      </c>
      <c r="AF43" s="8">
        <f t="shared" si="30"/>
        <v>0</v>
      </c>
      <c r="AG43" s="8">
        <f t="shared" si="30"/>
        <v>4646.199157041</v>
      </c>
      <c r="AH43" s="8">
        <f t="shared" si="30"/>
        <v>2479.4952862229065</v>
      </c>
      <c r="AI43" s="8">
        <v>0</v>
      </c>
      <c r="AJ43" s="88">
        <v>0</v>
      </c>
      <c r="AK43" s="88">
        <v>0</v>
      </c>
      <c r="AL43" s="88">
        <v>0</v>
      </c>
      <c r="AM43" s="88">
        <v>0</v>
      </c>
      <c r="AN43" s="88">
        <v>0</v>
      </c>
      <c r="AO43" s="88">
        <v>0</v>
      </c>
      <c r="AP43" s="88">
        <v>0</v>
      </c>
      <c r="AQ43" s="8">
        <f>AQ37*0.019</f>
        <v>593.62733817074991</v>
      </c>
      <c r="AR43" s="8">
        <f>AR37*0.019</f>
        <v>0</v>
      </c>
      <c r="AS43" s="88">
        <v>0</v>
      </c>
      <c r="AT43" s="8">
        <f>AT37*0.019</f>
        <v>0</v>
      </c>
      <c r="AU43" s="88">
        <v>0</v>
      </c>
      <c r="AV43" s="88">
        <v>0</v>
      </c>
      <c r="AW43" s="8">
        <f>AW37*0.019</f>
        <v>1602.7221880703748</v>
      </c>
      <c r="AX43" s="8">
        <f>AX37*0.019</f>
        <v>430.72265571862499</v>
      </c>
      <c r="AY43" s="88">
        <v>0</v>
      </c>
      <c r="AZ43" s="8">
        <f>AZ37*0.019</f>
        <v>4496.3849858095991</v>
      </c>
      <c r="BA43" s="8">
        <f>BA37*0.019</f>
        <v>1745.2697726749998</v>
      </c>
      <c r="BB43" s="8">
        <f>BB37*0.019</f>
        <v>0</v>
      </c>
      <c r="BC43" s="88">
        <v>0</v>
      </c>
      <c r="BD43" s="88">
        <v>0</v>
      </c>
      <c r="BE43" s="88">
        <v>0</v>
      </c>
      <c r="BF43" s="88">
        <v>0</v>
      </c>
      <c r="BG43" s="8">
        <f t="shared" ref="BG43:BW43" si="32">BG37*0.019</f>
        <v>0</v>
      </c>
      <c r="BH43" s="8">
        <f t="shared" si="32"/>
        <v>0</v>
      </c>
      <c r="BI43" s="8" t="e">
        <f t="shared" si="32"/>
        <v>#REF!</v>
      </c>
      <c r="BJ43" s="8">
        <f t="shared" si="32"/>
        <v>0</v>
      </c>
      <c r="BK43" s="8">
        <f t="shared" si="32"/>
        <v>0</v>
      </c>
      <c r="BL43" s="8">
        <f t="shared" si="32"/>
        <v>0</v>
      </c>
      <c r="BM43" s="8">
        <f t="shared" si="32"/>
        <v>0</v>
      </c>
      <c r="BN43" s="8">
        <f t="shared" si="32"/>
        <v>0</v>
      </c>
      <c r="BO43" s="8">
        <f t="shared" si="32"/>
        <v>0</v>
      </c>
      <c r="BP43" s="8">
        <f t="shared" si="32"/>
        <v>0</v>
      </c>
      <c r="BQ43" s="8">
        <f t="shared" si="32"/>
        <v>0</v>
      </c>
      <c r="BR43" s="8">
        <f t="shared" si="32"/>
        <v>0</v>
      </c>
      <c r="BS43" s="8">
        <f t="shared" si="32"/>
        <v>0</v>
      </c>
      <c r="BT43" s="8">
        <f t="shared" si="32"/>
        <v>0</v>
      </c>
      <c r="BU43" s="8">
        <f t="shared" si="32"/>
        <v>0</v>
      </c>
      <c r="BV43" s="8">
        <f t="shared" si="32"/>
        <v>0</v>
      </c>
      <c r="BW43" s="8">
        <f t="shared" si="32"/>
        <v>0</v>
      </c>
      <c r="BX43" s="88">
        <v>0</v>
      </c>
      <c r="BY43" s="88">
        <v>0</v>
      </c>
      <c r="BZ43" s="88">
        <v>0</v>
      </c>
      <c r="CA43" s="8" t="e">
        <f t="shared" si="29"/>
        <v>#REF!</v>
      </c>
    </row>
    <row r="44" spans="1:81">
      <c r="A44" s="9" t="s">
        <v>121</v>
      </c>
      <c r="B44" s="10">
        <f t="shared" ref="B44:BN44" si="33">SUM(B42:B43)</f>
        <v>0</v>
      </c>
      <c r="C44" s="10">
        <f t="shared" si="33"/>
        <v>49161.789695288702</v>
      </c>
      <c r="D44" s="10">
        <f t="shared" si="33"/>
        <v>35340.104809916105</v>
      </c>
      <c r="E44" s="10">
        <f t="shared" si="33"/>
        <v>7024.6755575554989</v>
      </c>
      <c r="F44" s="10">
        <f t="shared" si="33"/>
        <v>8837.7361347127498</v>
      </c>
      <c r="G44" s="10">
        <f t="shared" si="33"/>
        <v>3466.2101113380004</v>
      </c>
      <c r="H44" s="10">
        <f t="shared" si="33"/>
        <v>9879.9042116068122</v>
      </c>
      <c r="I44" s="10">
        <f t="shared" si="33"/>
        <v>17246.204071390126</v>
      </c>
      <c r="J44" s="10">
        <f t="shared" si="33"/>
        <v>45316.643023884186</v>
      </c>
      <c r="K44" s="10">
        <f t="shared" si="33"/>
        <v>13079.591317613686</v>
      </c>
      <c r="L44" s="10">
        <f t="shared" si="33"/>
        <v>1397.9101396363594</v>
      </c>
      <c r="M44" s="10">
        <f t="shared" si="33"/>
        <v>11280.519433828125</v>
      </c>
      <c r="N44" s="10">
        <f t="shared" si="33"/>
        <v>20196.242172509814</v>
      </c>
      <c r="O44" s="10">
        <f t="shared" si="33"/>
        <v>7575.0205623080637</v>
      </c>
      <c r="P44" s="10">
        <f t="shared" si="33"/>
        <v>0</v>
      </c>
      <c r="Q44" s="10">
        <f t="shared" si="33"/>
        <v>218.02602250000001</v>
      </c>
      <c r="R44" s="10">
        <f t="shared" si="33"/>
        <v>305.23643150000004</v>
      </c>
      <c r="S44" s="10">
        <f t="shared" si="33"/>
        <v>1276.5344335185</v>
      </c>
      <c r="T44" s="10">
        <f t="shared" si="33"/>
        <v>872.10409000000004</v>
      </c>
      <c r="U44" s="10">
        <f t="shared" si="33"/>
        <v>5616.8942500612502</v>
      </c>
      <c r="V44" s="10">
        <f t="shared" si="33"/>
        <v>4268.6410628915628</v>
      </c>
      <c r="W44" s="10">
        <f t="shared" si="33"/>
        <v>4908.3294436336873</v>
      </c>
      <c r="X44" s="10">
        <f t="shared" si="33"/>
        <v>11609.993694658124</v>
      </c>
      <c r="Y44" s="10">
        <f t="shared" si="33"/>
        <v>2116.5196717242188</v>
      </c>
      <c r="Z44" s="10">
        <f t="shared" si="33"/>
        <v>4065.7391381337502</v>
      </c>
      <c r="AA44" s="10">
        <f t="shared" si="33"/>
        <v>1601.8134026504999</v>
      </c>
      <c r="AB44" s="10">
        <f t="shared" si="33"/>
        <v>25465.630850229376</v>
      </c>
      <c r="AC44" s="10">
        <f t="shared" si="33"/>
        <v>721.15697732324998</v>
      </c>
      <c r="AD44" s="10">
        <f t="shared" si="33"/>
        <v>333.00898265699993</v>
      </c>
      <c r="AE44" s="10" t="e">
        <f t="shared" ref="AE44" si="34">SUM(AE42:AE43)</f>
        <v>#REF!</v>
      </c>
      <c r="AF44" s="10">
        <f t="shared" si="33"/>
        <v>0</v>
      </c>
      <c r="AG44" s="10">
        <f t="shared" si="33"/>
        <v>23353.264184074498</v>
      </c>
      <c r="AH44" s="10">
        <f t="shared" si="33"/>
        <v>12462.726307067765</v>
      </c>
      <c r="AI44" s="10">
        <f t="shared" si="33"/>
        <v>0</v>
      </c>
      <c r="AJ44" s="89">
        <f t="shared" si="33"/>
        <v>0</v>
      </c>
      <c r="AK44" s="89">
        <f t="shared" si="33"/>
        <v>0</v>
      </c>
      <c r="AL44" s="89">
        <f t="shared" si="33"/>
        <v>0</v>
      </c>
      <c r="AM44" s="89">
        <f t="shared" si="33"/>
        <v>0</v>
      </c>
      <c r="AN44" s="89">
        <f t="shared" si="33"/>
        <v>0</v>
      </c>
      <c r="AO44" s="89">
        <f t="shared" si="33"/>
        <v>0</v>
      </c>
      <c r="AP44" s="89">
        <f t="shared" si="33"/>
        <v>0</v>
      </c>
      <c r="AQ44" s="10">
        <f t="shared" si="33"/>
        <v>2983.7584629108751</v>
      </c>
      <c r="AR44" s="10">
        <f t="shared" si="33"/>
        <v>0</v>
      </c>
      <c r="AS44" s="89">
        <f t="shared" si="33"/>
        <v>0</v>
      </c>
      <c r="AT44" s="10">
        <f t="shared" si="33"/>
        <v>0</v>
      </c>
      <c r="AU44" s="89">
        <f t="shared" si="33"/>
        <v>0</v>
      </c>
      <c r="AV44" s="89">
        <f t="shared" si="33"/>
        <v>0</v>
      </c>
      <c r="AW44" s="10">
        <f t="shared" si="33"/>
        <v>8055.7878400379368</v>
      </c>
      <c r="AX44" s="10">
        <f t="shared" si="33"/>
        <v>2164.9480853225623</v>
      </c>
      <c r="AY44" s="89">
        <f t="shared" si="33"/>
        <v>0</v>
      </c>
      <c r="AZ44" s="10">
        <f t="shared" si="33"/>
        <v>22600.250849727196</v>
      </c>
      <c r="BA44" s="10">
        <f t="shared" si="33"/>
        <v>8772.2770152875</v>
      </c>
      <c r="BB44" s="10">
        <f t="shared" si="33"/>
        <v>0</v>
      </c>
      <c r="BC44" s="89">
        <f t="shared" si="33"/>
        <v>0</v>
      </c>
      <c r="BD44" s="89">
        <f t="shared" si="33"/>
        <v>0</v>
      </c>
      <c r="BE44" s="89">
        <f t="shared" si="33"/>
        <v>0</v>
      </c>
      <c r="BF44" s="89">
        <f t="shared" si="33"/>
        <v>0</v>
      </c>
      <c r="BG44" s="10">
        <f t="shared" si="33"/>
        <v>0</v>
      </c>
      <c r="BH44" s="10">
        <f t="shared" si="33"/>
        <v>0</v>
      </c>
      <c r="BI44" s="10" t="e">
        <f t="shared" si="33"/>
        <v>#REF!</v>
      </c>
      <c r="BJ44" s="10">
        <f t="shared" si="33"/>
        <v>0</v>
      </c>
      <c r="BK44" s="10">
        <f t="shared" si="33"/>
        <v>0</v>
      </c>
      <c r="BL44" s="10">
        <f t="shared" si="33"/>
        <v>0</v>
      </c>
      <c r="BM44" s="10">
        <f t="shared" si="33"/>
        <v>0</v>
      </c>
      <c r="BN44" s="10">
        <f t="shared" si="33"/>
        <v>0</v>
      </c>
      <c r="BO44" s="10">
        <f t="shared" ref="BO44:CA44" si="35">SUM(BO42:BO43)</f>
        <v>0</v>
      </c>
      <c r="BP44" s="10">
        <f t="shared" si="35"/>
        <v>0</v>
      </c>
      <c r="BQ44" s="10">
        <f t="shared" si="35"/>
        <v>0</v>
      </c>
      <c r="BR44" s="10">
        <f t="shared" si="35"/>
        <v>0</v>
      </c>
      <c r="BS44" s="10">
        <f t="shared" si="35"/>
        <v>0</v>
      </c>
      <c r="BT44" s="10">
        <f t="shared" si="35"/>
        <v>0</v>
      </c>
      <c r="BU44" s="10">
        <f t="shared" si="35"/>
        <v>0</v>
      </c>
      <c r="BV44" s="10">
        <f t="shared" si="35"/>
        <v>0</v>
      </c>
      <c r="BW44" s="10">
        <f t="shared" si="35"/>
        <v>0</v>
      </c>
      <c r="BX44" s="89">
        <f t="shared" si="35"/>
        <v>0</v>
      </c>
      <c r="BY44" s="89">
        <f t="shared" si="35"/>
        <v>0</v>
      </c>
      <c r="BZ44" s="89">
        <f t="shared" si="35"/>
        <v>0</v>
      </c>
      <c r="CA44" s="10" t="e">
        <f t="shared" si="35"/>
        <v>#REF!</v>
      </c>
    </row>
    <row r="45" spans="1:81">
      <c r="A45" s="6" t="s">
        <v>122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87"/>
      <c r="AK45" s="87"/>
      <c r="AL45" s="87"/>
      <c r="AM45" s="87"/>
      <c r="AN45" s="87"/>
      <c r="AO45" s="87"/>
      <c r="AP45" s="87"/>
      <c r="AQ45" s="4"/>
      <c r="AR45" s="4"/>
      <c r="AS45" s="87"/>
      <c r="AT45" s="4"/>
      <c r="AU45" s="87"/>
      <c r="AV45" s="87"/>
      <c r="AW45" s="4"/>
      <c r="AX45" s="4"/>
      <c r="AY45" s="87"/>
      <c r="AZ45" s="4"/>
      <c r="BA45" s="4"/>
      <c r="BB45" s="4"/>
      <c r="BC45" s="87"/>
      <c r="BD45" s="87"/>
      <c r="BE45" s="87"/>
      <c r="BF45" s="87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87"/>
      <c r="BY45" s="87"/>
      <c r="BZ45" s="87"/>
      <c r="CA45" s="4"/>
    </row>
    <row r="46" spans="1:81">
      <c r="A46" s="78" t="s">
        <v>123</v>
      </c>
      <c r="B46" s="8">
        <v>0</v>
      </c>
      <c r="C46" s="8">
        <f>C37*'June 2024 YTD'!$CB$46</f>
        <v>90355.436273734958</v>
      </c>
      <c r="D46" s="8">
        <f>D37*'June 2024 YTD'!$CB$46</f>
        <v>64952.285257538097</v>
      </c>
      <c r="E46" s="8">
        <f>E37*'June 2024 YTD'!$CB$46</f>
        <v>12910.791666016097</v>
      </c>
      <c r="F46" s="8">
        <f>F37*'June 2024 YTD'!$CB$46</f>
        <v>16243.051953022132</v>
      </c>
      <c r="G46" s="8">
        <f>G37*'June 2024 YTD'!$CB$46</f>
        <v>6370.6168706952149</v>
      </c>
      <c r="H46" s="8">
        <f>H37*'June 2024 YTD'!$CB$46</f>
        <v>18158.473499755335</v>
      </c>
      <c r="I46" s="8">
        <f>I37*'June 2024 YTD'!$CB$46</f>
        <v>31697.143301633168</v>
      </c>
      <c r="J46" s="8">
        <f>J37*'June 2024 YTD'!$CB$46</f>
        <v>83288.364322435533</v>
      </c>
      <c r="K46" s="8">
        <f>K37*'June 2024 YTD'!$CB$46</f>
        <v>24039.242409809915</v>
      </c>
      <c r="L46" s="8">
        <f>L37*'June 2024 YTD'!$CB$46</f>
        <v>2569.2469969299241</v>
      </c>
      <c r="M46" s="8">
        <f>M37*'June 2024 YTD'!$CB$46</f>
        <v>20732.692222056423</v>
      </c>
      <c r="N46" s="8">
        <f>N37*'June 2024 YTD'!$CB$46</f>
        <v>37119.077313859627</v>
      </c>
      <c r="O46" s="8">
        <f>O37*'June 2024 YTD'!$CB$46</f>
        <v>13922.281754430313</v>
      </c>
      <c r="P46" s="8">
        <f>P37*'June 2024 YTD'!$CB$46</f>
        <v>0</v>
      </c>
      <c r="Q46" s="8">
        <f>Q37*'June 2024 YTD'!$CB$46</f>
        <v>400.7143861953939</v>
      </c>
      <c r="R46" s="8">
        <f>R37*'June 2024 YTD'!$CB$46</f>
        <v>561.00014067355141</v>
      </c>
      <c r="S46" s="8">
        <f>S37*'June 2024 YTD'!$CB$46</f>
        <v>2346.1681597418055</v>
      </c>
      <c r="T46" s="8">
        <f>T37*'June 2024 YTD'!$CB$46</f>
        <v>1602.8575447815756</v>
      </c>
      <c r="U46" s="8">
        <f>U37*'June 2024 YTD'!$CB$46</f>
        <v>10323.402252305597</v>
      </c>
      <c r="V46" s="8">
        <f>V37*'June 2024 YTD'!$CB$46</f>
        <v>7845.4207612077407</v>
      </c>
      <c r="W46" s="8">
        <f>W37*'June 2024 YTD'!$CB$46</f>
        <v>9021.1168267790235</v>
      </c>
      <c r="X46" s="8">
        <f>X37*'June 2024 YTD'!$CB$46</f>
        <v>21338.239553892348</v>
      </c>
      <c r="Y46" s="8">
        <f>Y37*'June 2024 YTD'!$CB$46</f>
        <v>3889.9938245924145</v>
      </c>
      <c r="Z46" s="8">
        <f>Z37*'June 2024 YTD'!$CB$46</f>
        <v>7472.5032566599029</v>
      </c>
      <c r="AA46" s="8">
        <f>AA37*'June 2024 YTD'!$CB$46</f>
        <v>2944.0048810808826</v>
      </c>
      <c r="AB46" s="8">
        <f>AB37*'June 2024 YTD'!$CB$46</f>
        <v>46803.792126364868</v>
      </c>
      <c r="AC46" s="8">
        <f>AC37*'June 2024 YTD'!$CB$46</f>
        <v>1325.4288281969261</v>
      </c>
      <c r="AD46" s="8">
        <f>AD37*'June 2024 YTD'!$CB$46</f>
        <v>612.04386775873184</v>
      </c>
      <c r="AE46" s="8" t="e">
        <f>AE37*'June 2024 YTD'!$CB$46</f>
        <v>#REF!</v>
      </c>
      <c r="AF46" s="8">
        <f>AF37*'June 2024 YTD'!$CB$46</f>
        <v>0</v>
      </c>
      <c r="AG46" s="8">
        <f>AG37*'June 2024 YTD'!$CB$46</f>
        <v>42921.431193747936</v>
      </c>
      <c r="AH46" s="8">
        <f>AH37*'June 2024 YTD'!$CB$46</f>
        <v>22905.493872676816</v>
      </c>
      <c r="AI46" s="8">
        <f>AI37*'June 2024 YTD'!$CB$46</f>
        <v>0</v>
      </c>
      <c r="AJ46" s="88">
        <v>0</v>
      </c>
      <c r="AK46" s="88">
        <v>0</v>
      </c>
      <c r="AL46" s="88">
        <v>0</v>
      </c>
      <c r="AM46" s="88">
        <v>0</v>
      </c>
      <c r="AN46" s="88">
        <v>0</v>
      </c>
      <c r="AO46" s="88">
        <v>0</v>
      </c>
      <c r="AP46" s="88">
        <v>0</v>
      </c>
      <c r="AQ46" s="8">
        <f>AQ37*'June 2024 YTD'!$CB$46</f>
        <v>5483.9093394030206</v>
      </c>
      <c r="AR46" s="8">
        <f>AR37*'June 2024 YTD'!$CB$46</f>
        <v>0</v>
      </c>
      <c r="AS46" s="88">
        <v>0</v>
      </c>
      <c r="AT46" s="8">
        <f>AT37*'June 2024 YTD'!$CB$46</f>
        <v>0</v>
      </c>
      <c r="AU46" s="88">
        <v>0</v>
      </c>
      <c r="AV46" s="88">
        <v>0</v>
      </c>
      <c r="AW46" s="8">
        <f>AW37*'June 2024 YTD'!$CB$46</f>
        <v>14805.893547138941</v>
      </c>
      <c r="AX46" s="8">
        <f>AX37*'June 2024 YTD'!$CB$46</f>
        <v>3979.0013742736778</v>
      </c>
      <c r="AY46" s="88">
        <v>0</v>
      </c>
      <c r="AZ46" s="8">
        <f>AZ37*'June 2024 YTD'!$CB$46</f>
        <v>41537.452930006839</v>
      </c>
      <c r="BA46" s="8">
        <f>BA37*'June 2024 YTD'!$CB$46</f>
        <v>16122.743328571671</v>
      </c>
      <c r="BB46" s="8">
        <f>BB37*'June 2024 YTD'!$CB$46</f>
        <v>0</v>
      </c>
      <c r="BC46" s="88">
        <v>0</v>
      </c>
      <c r="BD46" s="88">
        <v>0</v>
      </c>
      <c r="BE46" s="88">
        <v>0</v>
      </c>
      <c r="BF46" s="88">
        <v>0</v>
      </c>
      <c r="BG46" s="8">
        <f>BG37*'June 2024 YTD'!$CB$46</f>
        <v>0</v>
      </c>
      <c r="BH46" s="8">
        <f>BH37*'June 2024 YTD'!$CB$46</f>
        <v>0</v>
      </c>
      <c r="BI46" s="8" t="e">
        <f>BI37*'June 2024 YTD'!$CB$46</f>
        <v>#REF!</v>
      </c>
      <c r="BJ46" s="8">
        <f>BJ37*'June 2024 YTD'!$CB$46</f>
        <v>0</v>
      </c>
      <c r="BK46" s="8">
        <f>BK37*'June 2024 YTD'!$CB$46</f>
        <v>0</v>
      </c>
      <c r="BL46" s="8">
        <f>BL37*'June 2024 YTD'!$CB$46</f>
        <v>0</v>
      </c>
      <c r="BM46" s="8">
        <f>BM37*'June 2024 YTD'!$CB$46</f>
        <v>0</v>
      </c>
      <c r="BN46" s="8">
        <f>BN37*'June 2024 YTD'!$CB$46</f>
        <v>0</v>
      </c>
      <c r="BO46" s="8">
        <f>BO37*'June 2024 YTD'!$CB$46</f>
        <v>0</v>
      </c>
      <c r="BP46" s="8">
        <f>BP37*'June 2024 YTD'!$CB$46</f>
        <v>0</v>
      </c>
      <c r="BQ46" s="8">
        <f>BQ37*'June 2024 YTD'!$CB$46</f>
        <v>0</v>
      </c>
      <c r="BR46" s="8">
        <f>BR37*'June 2024 YTD'!$CB$46</f>
        <v>0</v>
      </c>
      <c r="BS46" s="8">
        <f>BS37*'June 2024 YTD'!$CB$46</f>
        <v>0</v>
      </c>
      <c r="BT46" s="8">
        <f>BT37*'June 2024 YTD'!$CB$46</f>
        <v>0</v>
      </c>
      <c r="BU46" s="8">
        <f>BU37*'June 2024 YTD'!$CB$46</f>
        <v>0</v>
      </c>
      <c r="BV46" s="8">
        <f>BV37*'June 2024 YTD'!$CB$46</f>
        <v>0</v>
      </c>
      <c r="BW46" s="8">
        <f>BW37*'June 2024 YTD'!$CB$46</f>
        <v>0</v>
      </c>
      <c r="BX46" s="88">
        <v>0</v>
      </c>
      <c r="BY46" s="88">
        <v>0</v>
      </c>
      <c r="BZ46" s="88">
        <v>0</v>
      </c>
      <c r="CA46" s="8" t="e">
        <f t="shared" ref="CA46:CA54" si="36">SUM(B46:BZ46)</f>
        <v>#REF!</v>
      </c>
    </row>
    <row r="47" spans="1:81">
      <c r="A47" s="78" t="s">
        <v>124</v>
      </c>
      <c r="B47" s="8">
        <f>'June 2024 YTD'!B47*2</f>
        <v>0</v>
      </c>
      <c r="C47" s="8">
        <f>C37*'June 2024 YTD'!$CB$47</f>
        <v>1086.6658056037782</v>
      </c>
      <c r="D47" s="8">
        <f>D37*'June 2024 YTD'!$CB$47</f>
        <v>781.15308050043757</v>
      </c>
      <c r="E47" s="8">
        <f>E37*'June 2024 YTD'!$CB$47</f>
        <v>155.27251491797804</v>
      </c>
      <c r="F47" s="8">
        <f>F37*'June 2024 YTD'!$CB$47</f>
        <v>195.34817011475872</v>
      </c>
      <c r="G47" s="8">
        <f>G37*'June 2024 YTD'!$CB$47</f>
        <v>76.616657497113721</v>
      </c>
      <c r="H47" s="8">
        <f>H37*'June 2024 YTD'!$CB$47</f>
        <v>218.38411774546825</v>
      </c>
      <c r="I47" s="8">
        <f>I37*'June 2024 YTD'!$CB$47</f>
        <v>381.2078518093553</v>
      </c>
      <c r="J47" s="8">
        <f>J37*'June 2024 YTD'!$CB$47</f>
        <v>1001.6731836661983</v>
      </c>
      <c r="K47" s="8">
        <f>K37*'June 2024 YTD'!$CB$47</f>
        <v>289.10958539584936</v>
      </c>
      <c r="L47" s="8">
        <f>L37*'June 2024 YTD'!$CB$47</f>
        <v>30.899223918921113</v>
      </c>
      <c r="M47" s="8">
        <f>M37*'June 2024 YTD'!$CB$47</f>
        <v>249.34313445803301</v>
      </c>
      <c r="N47" s="8">
        <f>N37*'June 2024 YTD'!$CB$47</f>
        <v>446.41511032423961</v>
      </c>
      <c r="O47" s="8">
        <f>O37*'June 2024 YTD'!$CB$47</f>
        <v>167.43726932696515</v>
      </c>
      <c r="P47" s="8">
        <f>P37*'June 2024 YTD'!$CB$47</f>
        <v>0</v>
      </c>
      <c r="Q47" s="8">
        <f>Q37*'June 2024 YTD'!$CB$47</f>
        <v>4.8192188455916751</v>
      </c>
      <c r="R47" s="8">
        <f>R37*'June 2024 YTD'!$CB$47</f>
        <v>6.7469063838283452</v>
      </c>
      <c r="S47" s="8">
        <f>S37*'June 2024 YTD'!$CB$47</f>
        <v>28.216351096617597</v>
      </c>
      <c r="T47" s="8">
        <f>T37*'June 2024 YTD'!$CB$47</f>
        <v>19.276875382366701</v>
      </c>
      <c r="U47" s="8">
        <f>U37*'June 2024 YTD'!$CB$47</f>
        <v>124.15509998853781</v>
      </c>
      <c r="V47" s="8">
        <f>V37*'June 2024 YTD'!$CB$47</f>
        <v>94.353486888719871</v>
      </c>
      <c r="W47" s="8">
        <f>W37*'June 2024 YTD'!$CB$47</f>
        <v>108.49307566087423</v>
      </c>
      <c r="X47" s="8">
        <f>X37*'June 2024 YTD'!$CB$47</f>
        <v>256.62579066907921</v>
      </c>
      <c r="Y47" s="8">
        <f>Y37*'June 2024 YTD'!$CB$47</f>
        <v>46.783275556195868</v>
      </c>
      <c r="Z47" s="8">
        <f>Z37*'June 2024 YTD'!$CB$47</f>
        <v>89.868569132631038</v>
      </c>
      <c r="AA47" s="8">
        <f>AA37*'June 2024 YTD'!$CB$47</f>
        <v>35.406275125597062</v>
      </c>
      <c r="AB47" s="8">
        <f>AB37*'June 2024 YTD'!$CB$47</f>
        <v>562.88899233716995</v>
      </c>
      <c r="AC47" s="8">
        <f>AC37*'June 2024 YTD'!$CB$47</f>
        <v>15.940360035445467</v>
      </c>
      <c r="AD47" s="8">
        <f>AD37*'June 2024 YTD'!$CB$47</f>
        <v>7.3607872425958947</v>
      </c>
      <c r="AE47" s="8" t="e">
        <f>AE37*'June 2024 YTD'!$CB$47</f>
        <v>#REF!</v>
      </c>
      <c r="AF47" s="8">
        <f>AF37*'June 2024 YTD'!$CB$47</f>
        <v>0</v>
      </c>
      <c r="AG47" s="8">
        <f>AG37*'June 2024 YTD'!$CB$47</f>
        <v>516.19751427595259</v>
      </c>
      <c r="AH47" s="8">
        <f>AH37*'June 2024 YTD'!$CB$47</f>
        <v>275.47448143017937</v>
      </c>
      <c r="AI47" s="8">
        <f>AI37*'June 2024 YTD'!$CB$47</f>
        <v>0</v>
      </c>
      <c r="AJ47" s="88">
        <v>0</v>
      </c>
      <c r="AK47" s="88">
        <v>0</v>
      </c>
      <c r="AL47" s="88">
        <v>0</v>
      </c>
      <c r="AM47" s="88">
        <v>0</v>
      </c>
      <c r="AN47" s="88">
        <v>0</v>
      </c>
      <c r="AO47" s="88">
        <v>0</v>
      </c>
      <c r="AP47" s="88">
        <v>0</v>
      </c>
      <c r="AQ47" s="8">
        <f>AQ37*'June 2024 YTD'!$CB$47</f>
        <v>65.952609006357193</v>
      </c>
      <c r="AR47" s="8">
        <f>AR37*'June 2024 YTD'!$CB$47</f>
        <v>0</v>
      </c>
      <c r="AS47" s="88">
        <v>0</v>
      </c>
      <c r="AT47" s="8">
        <f>AT37*'June 2024 YTD'!$CB$47</f>
        <v>0</v>
      </c>
      <c r="AU47" s="88">
        <v>0</v>
      </c>
      <c r="AV47" s="88">
        <v>0</v>
      </c>
      <c r="AW47" s="8">
        <f>AW37*'June 2024 YTD'!$CB$47</f>
        <v>178.06408670689333</v>
      </c>
      <c r="AX47" s="8">
        <f>AX37*'June 2024 YTD'!$CB$47</f>
        <v>47.853730911933255</v>
      </c>
      <c r="AY47" s="88">
        <v>0</v>
      </c>
      <c r="AZ47" s="8">
        <f>AZ37*'June 2024 YTD'!$CB$47</f>
        <v>499.5530054679806</v>
      </c>
      <c r="BA47" s="8">
        <f>BA37*'June 2024 YTD'!$CB$47</f>
        <v>193.90127025238104</v>
      </c>
      <c r="BB47" s="8">
        <f>BB37*'June 2024 YTD'!$CB$47</f>
        <v>0</v>
      </c>
      <c r="BC47" s="88">
        <v>0</v>
      </c>
      <c r="BD47" s="88">
        <v>0</v>
      </c>
      <c r="BE47" s="88">
        <v>0</v>
      </c>
      <c r="BF47" s="88">
        <v>0</v>
      </c>
      <c r="BG47" s="8">
        <f>BG37*'June 2024 YTD'!$CB$47</f>
        <v>0</v>
      </c>
      <c r="BH47" s="8">
        <f>BH37*'June 2024 YTD'!$CB$47</f>
        <v>0</v>
      </c>
      <c r="BI47" s="8" t="e">
        <f>BI37*'June 2024 YTD'!$CB$47</f>
        <v>#REF!</v>
      </c>
      <c r="BJ47" s="8">
        <f>BJ37*'June 2024 YTD'!$CB$47</f>
        <v>0</v>
      </c>
      <c r="BK47" s="8">
        <f>BK37*'June 2024 YTD'!$CB$47</f>
        <v>0</v>
      </c>
      <c r="BL47" s="8">
        <f>BL37*'June 2024 YTD'!$CB$47</f>
        <v>0</v>
      </c>
      <c r="BM47" s="8">
        <f>BM37*'June 2024 YTD'!$CB$47</f>
        <v>0</v>
      </c>
      <c r="BN47" s="8">
        <f>BN37*'June 2024 YTD'!$CB$47</f>
        <v>0</v>
      </c>
      <c r="BO47" s="8">
        <f>BO37*'June 2024 YTD'!$CB$47</f>
        <v>0</v>
      </c>
      <c r="BP47" s="8">
        <f>BP37*'June 2024 YTD'!$CB$47</f>
        <v>0</v>
      </c>
      <c r="BQ47" s="8">
        <f>BQ37*'June 2024 YTD'!$CB$47</f>
        <v>0</v>
      </c>
      <c r="BR47" s="8">
        <f>BR37*'June 2024 YTD'!$CB$47</f>
        <v>0</v>
      </c>
      <c r="BS47" s="8">
        <f>BS37*'June 2024 YTD'!$CB$47</f>
        <v>0</v>
      </c>
      <c r="BT47" s="8">
        <f>BT37*'June 2024 YTD'!$CB$47</f>
        <v>0</v>
      </c>
      <c r="BU47" s="8">
        <f>BU37*'June 2024 YTD'!$CB$47</f>
        <v>0</v>
      </c>
      <c r="BV47" s="8">
        <f>BV37*'June 2024 YTD'!$CB$47</f>
        <v>0</v>
      </c>
      <c r="BW47" s="8">
        <f>BW37*'June 2024 YTD'!$CB$47</f>
        <v>0</v>
      </c>
      <c r="BX47" s="88">
        <v>0</v>
      </c>
      <c r="BY47" s="88">
        <v>0</v>
      </c>
      <c r="BZ47" s="88">
        <v>0</v>
      </c>
      <c r="CA47" s="8" t="e">
        <f t="shared" si="36"/>
        <v>#REF!</v>
      </c>
    </row>
    <row r="48" spans="1:81">
      <c r="A48" s="78" t="s">
        <v>125</v>
      </c>
      <c r="B48" s="8">
        <f>'June 2024 YTD'!B48*2</f>
        <v>0</v>
      </c>
      <c r="C48" s="8">
        <f>C37*'June 2024 YTD'!$CB$48</f>
        <v>633.63134245748984</v>
      </c>
      <c r="D48" s="8">
        <f>D37*'June 2024 YTD'!$CB$48</f>
        <v>455.48785331225389</v>
      </c>
      <c r="E48" s="8">
        <f>E37*'June 2024 YTD'!$CB$48</f>
        <v>90.538904939190246</v>
      </c>
      <c r="F48" s="8">
        <f>F37*'June 2024 YTD'!$CB$48</f>
        <v>113.90689081971634</v>
      </c>
      <c r="G48" s="8">
        <f>G37*'June 2024 YTD'!$CB$48</f>
        <v>44.674927005297754</v>
      </c>
      <c r="H48" s="8">
        <f>H37*'June 2024 YTD'!$CB$48</f>
        <v>127.33907792522378</v>
      </c>
      <c r="I48" s="8">
        <f>I37*'June 2024 YTD'!$CB$48</f>
        <v>222.2810745048605</v>
      </c>
      <c r="J48" s="8">
        <f>J37*'June 2024 YTD'!$CB$48</f>
        <v>584.07241747837168</v>
      </c>
      <c r="K48" s="8">
        <f>K37*'June 2024 YTD'!$CB$48</f>
        <v>168.57887104482512</v>
      </c>
      <c r="L48" s="8">
        <f>L37*'June 2024 YTD'!$CB$48</f>
        <v>18.017238263756859</v>
      </c>
      <c r="M48" s="8">
        <f>M37*'June 2024 YTD'!$CB$48</f>
        <v>145.39118117498677</v>
      </c>
      <c r="N48" s="8">
        <f>N37*'June 2024 YTD'!$CB$48</f>
        <v>260.30321759401545</v>
      </c>
      <c r="O48" s="8">
        <f>O37*'June 2024 YTD'!$CB$48</f>
        <v>97.632134179572418</v>
      </c>
      <c r="P48" s="8">
        <f>P37*'June 2024 YTD'!$CB$48</f>
        <v>0</v>
      </c>
      <c r="Q48" s="8">
        <f>Q37*'June 2024 YTD'!$CB$48</f>
        <v>2.8100710365428574</v>
      </c>
      <c r="R48" s="8">
        <f>R37*'June 2024 YTD'!$CB$48</f>
        <v>3.9340994511599998</v>
      </c>
      <c r="S48" s="8">
        <f>S37*'June 2024 YTD'!$CB$48</f>
        <v>16.452863734557098</v>
      </c>
      <c r="T48" s="8">
        <f>T37*'June 2024 YTD'!$CB$48</f>
        <v>11.24028414617143</v>
      </c>
      <c r="U48" s="8">
        <f>U37*'June 2024 YTD'!$CB$48</f>
        <v>72.394440197711859</v>
      </c>
      <c r="V48" s="8">
        <f>V37*'June 2024 YTD'!$CB$48</f>
        <v>55.017215278644521</v>
      </c>
      <c r="W48" s="8">
        <f>W37*'June 2024 YTD'!$CB$48</f>
        <v>63.261964095893831</v>
      </c>
      <c r="X48" s="8">
        <f>X37*'June 2024 YTD'!$CB$48</f>
        <v>149.63767463034827</v>
      </c>
      <c r="Y48" s="8">
        <f>Y37*'June 2024 YTD'!$CB$48</f>
        <v>27.279177776980372</v>
      </c>
      <c r="Z48" s="8">
        <f>Z37*'June 2024 YTD'!$CB$48</f>
        <v>52.402074134101895</v>
      </c>
      <c r="AA48" s="8">
        <f>AA37*'June 2024 YTD'!$CB$48</f>
        <v>20.645285352276382</v>
      </c>
      <c r="AB48" s="8">
        <f>AB37*'June 2024 YTD'!$CB$48</f>
        <v>328.21876425105086</v>
      </c>
      <c r="AC48" s="8">
        <f>AC37*'June 2024 YTD'!$CB$48</f>
        <v>9.2947727594161762</v>
      </c>
      <c r="AD48" s="8">
        <f>AD37*'June 2024 YTD'!$CB$48</f>
        <v>4.2920514090148947</v>
      </c>
      <c r="AE48" s="8" t="e">
        <f>AE37*'June 2024 YTD'!$CB$48</f>
        <v>#REF!</v>
      </c>
      <c r="AF48" s="8">
        <f>AF37*'June 2024 YTD'!$CB$48</f>
        <v>0</v>
      </c>
      <c r="AG48" s="8">
        <f>AG37*'June 2024 YTD'!$CB$48</f>
        <v>300.99311329867243</v>
      </c>
      <c r="AH48" s="8">
        <f>AH37*'June 2024 YTD'!$CB$48</f>
        <v>160.62828569856541</v>
      </c>
      <c r="AI48" s="8">
        <f>AI37*'June 2024 YTD'!$CB$48</f>
        <v>0</v>
      </c>
      <c r="AJ48" s="88">
        <v>0</v>
      </c>
      <c r="AK48" s="88">
        <v>0</v>
      </c>
      <c r="AL48" s="88">
        <v>0</v>
      </c>
      <c r="AM48" s="88">
        <v>0</v>
      </c>
      <c r="AN48" s="88">
        <v>0</v>
      </c>
      <c r="AO48" s="88">
        <v>0</v>
      </c>
      <c r="AP48" s="88">
        <v>0</v>
      </c>
      <c r="AQ48" s="8">
        <f>AQ37*'June 2024 YTD'!$CB$48</f>
        <v>38.456754567751119</v>
      </c>
      <c r="AR48" s="8">
        <f>AR37*'June 2024 YTD'!$CB$48</f>
        <v>0</v>
      </c>
      <c r="AS48" s="88">
        <v>0</v>
      </c>
      <c r="AT48" s="8">
        <f>AT37*'June 2024 YTD'!$CB$48</f>
        <v>0</v>
      </c>
      <c r="AU48" s="88">
        <v>0</v>
      </c>
      <c r="AV48" s="88">
        <v>0</v>
      </c>
      <c r="AW48" s="8">
        <f>AW37*'June 2024 YTD'!$CB$48</f>
        <v>103.82859727592722</v>
      </c>
      <c r="AX48" s="8">
        <f>AX37*'June 2024 YTD'!$CB$48</f>
        <v>27.903356858165157</v>
      </c>
      <c r="AY48" s="88">
        <v>0</v>
      </c>
      <c r="AZ48" s="8">
        <f>AZ37*'June 2024 YTD'!$CB$48</f>
        <v>291.28775365069771</v>
      </c>
      <c r="BA48" s="8">
        <f>BA37*'June 2024 YTD'!$CB$48</f>
        <v>113.06320815530184</v>
      </c>
      <c r="BB48" s="8">
        <f>BB37*'June 2024 YTD'!$CB$48</f>
        <v>0</v>
      </c>
      <c r="BC48" s="88">
        <v>0</v>
      </c>
      <c r="BD48" s="88">
        <v>0</v>
      </c>
      <c r="BE48" s="88">
        <v>0</v>
      </c>
      <c r="BF48" s="88">
        <v>0</v>
      </c>
      <c r="BG48" s="8">
        <f>BG37*'June 2024 YTD'!$CB$48</f>
        <v>0</v>
      </c>
      <c r="BH48" s="8">
        <f>BH37*'June 2024 YTD'!$CB$48</f>
        <v>0</v>
      </c>
      <c r="BI48" s="8" t="e">
        <f>BI37*'June 2024 YTD'!$CB$48</f>
        <v>#REF!</v>
      </c>
      <c r="BJ48" s="8">
        <f>BJ37*'June 2024 YTD'!$CB$48</f>
        <v>0</v>
      </c>
      <c r="BK48" s="8">
        <f>BK37*'June 2024 YTD'!$CB$48</f>
        <v>0</v>
      </c>
      <c r="BL48" s="8">
        <f>BL37*'June 2024 YTD'!$CB$48</f>
        <v>0</v>
      </c>
      <c r="BM48" s="8">
        <f>BM37*'June 2024 YTD'!$CB$48</f>
        <v>0</v>
      </c>
      <c r="BN48" s="8">
        <f>BN37*'June 2024 YTD'!$CB$48</f>
        <v>0</v>
      </c>
      <c r="BO48" s="8">
        <f>BO37*'June 2024 YTD'!$CB$48</f>
        <v>0</v>
      </c>
      <c r="BP48" s="8">
        <f>BP37*'June 2024 YTD'!$CB$48</f>
        <v>0</v>
      </c>
      <c r="BQ48" s="8">
        <f>BQ37*'June 2024 YTD'!$CB$48</f>
        <v>0</v>
      </c>
      <c r="BR48" s="8">
        <f>BR37*'June 2024 YTD'!$CB$48</f>
        <v>0</v>
      </c>
      <c r="BS48" s="8">
        <f>BS37*'June 2024 YTD'!$CB$48</f>
        <v>0</v>
      </c>
      <c r="BT48" s="8">
        <f>BT37*'June 2024 YTD'!$CB$48</f>
        <v>0</v>
      </c>
      <c r="BU48" s="8">
        <f>BU37*'June 2024 YTD'!$CB$48</f>
        <v>0</v>
      </c>
      <c r="BV48" s="8">
        <f>BV37*'June 2024 YTD'!$CB$48</f>
        <v>0</v>
      </c>
      <c r="BW48" s="8">
        <f>BW37*'June 2024 YTD'!$CB$48</f>
        <v>0</v>
      </c>
      <c r="BX48" s="88">
        <v>0</v>
      </c>
      <c r="BY48" s="88">
        <v>0</v>
      </c>
      <c r="BZ48" s="88">
        <v>0</v>
      </c>
      <c r="CA48" s="8" t="e">
        <f t="shared" si="36"/>
        <v>#REF!</v>
      </c>
    </row>
    <row r="49" spans="1:81">
      <c r="A49" s="78" t="s">
        <v>126</v>
      </c>
      <c r="B49" s="8">
        <f>'June 2024 YTD'!B49*2</f>
        <v>0</v>
      </c>
      <c r="C49" s="8">
        <f>C37*'June 2024 YTD'!$CB$49</f>
        <v>1691.8616395522663</v>
      </c>
      <c r="D49" s="8">
        <f>D37*'June 2024 YTD'!$CB$49</f>
        <v>1216.1999804369098</v>
      </c>
      <c r="E49" s="8">
        <f>E37*'June 2024 YTD'!$CB$49</f>
        <v>241.74830045431656</v>
      </c>
      <c r="F49" s="8">
        <f>F37*'June 2024 YTD'!$CB$49</f>
        <v>304.14325514757104</v>
      </c>
      <c r="G49" s="8">
        <f>G37*'June 2024 YTD'!$CB$49</f>
        <v>119.28670535285552</v>
      </c>
      <c r="H49" s="8">
        <f>H37*'June 2024 YTD'!$CB$49</f>
        <v>340.0085928863229</v>
      </c>
      <c r="I49" s="8">
        <f>I37*'June 2024 YTD'!$CB$49</f>
        <v>593.51360634194498</v>
      </c>
      <c r="J49" s="8">
        <f>J37*'June 2024 YTD'!$CB$49</f>
        <v>1559.534151230074</v>
      </c>
      <c r="K49" s="8">
        <f>K37*'June 2024 YTD'!$CB$49</f>
        <v>450.12313319854871</v>
      </c>
      <c r="L49" s="8">
        <f>L37*'June 2024 YTD'!$CB$49</f>
        <v>48.107901592902323</v>
      </c>
      <c r="M49" s="8">
        <f>M37*'June 2024 YTD'!$CB$49</f>
        <v>388.20958762098576</v>
      </c>
      <c r="N49" s="8">
        <f>N37*'June 2024 YTD'!$CB$49</f>
        <v>695.03668614512628</v>
      </c>
      <c r="O49" s="8">
        <f>O37*'June 2024 YTD'!$CB$49</f>
        <v>260.68796086601435</v>
      </c>
      <c r="P49" s="8">
        <f>P37*'June 2024 YTD'!$CB$49</f>
        <v>0</v>
      </c>
      <c r="Q49" s="8">
        <f>Q37*'June 2024 YTD'!$CB$49</f>
        <v>7.5031821701002688</v>
      </c>
      <c r="R49" s="8">
        <f>R37*'June 2024 YTD'!$CB$49</f>
        <v>10.504455038140376</v>
      </c>
      <c r="S49" s="8">
        <f>S37*'June 2024 YTD'!$CB$49</f>
        <v>43.930858762949065</v>
      </c>
      <c r="T49" s="8">
        <f>T37*'June 2024 YTD'!$CB$49</f>
        <v>30.012728680401075</v>
      </c>
      <c r="U49" s="8">
        <f>U37*'June 2024 YTD'!$CB$49</f>
        <v>193.30069092279243</v>
      </c>
      <c r="V49" s="8">
        <f>V37*'June 2024 YTD'!$CB$49</f>
        <v>146.90169157970959</v>
      </c>
      <c r="W49" s="8">
        <f>W37*'June 2024 YTD'!$CB$49</f>
        <v>168.91602912423195</v>
      </c>
      <c r="X49" s="8">
        <f>X37*'June 2024 YTD'!$CB$49</f>
        <v>399.54816716768465</v>
      </c>
      <c r="Y49" s="8">
        <f>Y37*'June 2024 YTD'!$CB$49</f>
        <v>72.838244175864972</v>
      </c>
      <c r="Z49" s="8">
        <f>Z37*'June 2024 YTD'!$CB$49</f>
        <v>139.91899251165756</v>
      </c>
      <c r="AA49" s="8">
        <f>AA37*'June 2024 YTD'!$CB$49</f>
        <v>55.125060874762653</v>
      </c>
      <c r="AB49" s="8">
        <f>AB37*'June 2024 YTD'!$CB$49</f>
        <v>876.37826510271907</v>
      </c>
      <c r="AC49" s="8">
        <f>AC37*'June 2024 YTD'!$CB$49</f>
        <v>24.818010767935796</v>
      </c>
      <c r="AD49" s="8">
        <f>AD37*'June 2024 YTD'!$CB$49</f>
        <v>11.460224025117146</v>
      </c>
      <c r="AE49" s="8" t="e">
        <f>AE37*'June 2024 YTD'!$CB$49</f>
        <v>#REF!</v>
      </c>
      <c r="AF49" s="8">
        <f>AF37*'June 2024 YTD'!$CB$49</f>
        <v>0</v>
      </c>
      <c r="AG49" s="8">
        <f>AG37*'June 2024 YTD'!$CB$49</f>
        <v>803.68294312019088</v>
      </c>
      <c r="AH49" s="8">
        <f>AH37*'June 2024 YTD'!$CB$49</f>
        <v>428.89424274127839</v>
      </c>
      <c r="AI49" s="8">
        <f>AI37*'June 2024 YTD'!$CB$49</f>
        <v>0</v>
      </c>
      <c r="AJ49" s="88">
        <v>0</v>
      </c>
      <c r="AK49" s="88">
        <v>0</v>
      </c>
      <c r="AL49" s="88">
        <v>0</v>
      </c>
      <c r="AM49" s="88">
        <v>0</v>
      </c>
      <c r="AN49" s="88">
        <v>0</v>
      </c>
      <c r="AO49" s="88">
        <v>0</v>
      </c>
      <c r="AP49" s="88">
        <v>0</v>
      </c>
      <c r="AQ49" s="8">
        <f>AQ37*'June 2024 YTD'!$CB$49</f>
        <v>102.68353769008769</v>
      </c>
      <c r="AR49" s="8">
        <f>AR37*'June 2024 YTD'!$CB$49</f>
        <v>0</v>
      </c>
      <c r="AS49" s="88">
        <v>0</v>
      </c>
      <c r="AT49" s="8">
        <f>AT37*'June 2024 YTD'!$CB$49</f>
        <v>0</v>
      </c>
      <c r="AU49" s="88">
        <v>0</v>
      </c>
      <c r="AV49" s="88">
        <v>0</v>
      </c>
      <c r="AW49" s="8">
        <f>AW37*'June 2024 YTD'!$CB$49</f>
        <v>277.2331623280574</v>
      </c>
      <c r="AX49" s="8">
        <f>AX37*'June 2024 YTD'!$CB$49</f>
        <v>74.504867293925727</v>
      </c>
      <c r="AY49" s="88">
        <v>0</v>
      </c>
      <c r="AZ49" s="8">
        <f>AZ37*'June 2024 YTD'!$CB$49</f>
        <v>777.76862262148791</v>
      </c>
      <c r="BA49" s="8">
        <f>BA37*'June 2024 YTD'!$CB$49</f>
        <v>301.89053461398424</v>
      </c>
      <c r="BB49" s="8">
        <f>BB37*'June 2024 YTD'!$CB$49</f>
        <v>0</v>
      </c>
      <c r="BC49" s="88">
        <v>0</v>
      </c>
      <c r="BD49" s="88">
        <v>0</v>
      </c>
      <c r="BE49" s="88">
        <v>0</v>
      </c>
      <c r="BF49" s="88">
        <v>0</v>
      </c>
      <c r="BG49" s="8">
        <f>BG37*'June 2024 YTD'!$CB$49</f>
        <v>0</v>
      </c>
      <c r="BH49" s="8">
        <f>BH37*'June 2024 YTD'!$CB$49</f>
        <v>0</v>
      </c>
      <c r="BI49" s="8" t="e">
        <f>BI37*'June 2024 YTD'!$CB$49</f>
        <v>#REF!</v>
      </c>
      <c r="BJ49" s="8">
        <f>BJ37*'June 2024 YTD'!$CB$49</f>
        <v>0</v>
      </c>
      <c r="BK49" s="8">
        <f>BK37*'June 2024 YTD'!$CB$49</f>
        <v>0</v>
      </c>
      <c r="BL49" s="8">
        <f>BL37*'June 2024 YTD'!$CB$49</f>
        <v>0</v>
      </c>
      <c r="BM49" s="8">
        <f>BM37*'June 2024 YTD'!$CB$49</f>
        <v>0</v>
      </c>
      <c r="BN49" s="8">
        <f>BN37*'June 2024 YTD'!$CB$49</f>
        <v>0</v>
      </c>
      <c r="BO49" s="8">
        <f>BO37*'June 2024 YTD'!$CB$49</f>
        <v>0</v>
      </c>
      <c r="BP49" s="8">
        <f>BP37*'June 2024 YTD'!$CB$49</f>
        <v>0</v>
      </c>
      <c r="BQ49" s="8">
        <f>BQ37*'June 2024 YTD'!$CB$49</f>
        <v>0</v>
      </c>
      <c r="BR49" s="8">
        <f>BR37*'June 2024 YTD'!$CB$49</f>
        <v>0</v>
      </c>
      <c r="BS49" s="8">
        <f>BS37*'June 2024 YTD'!$CB$49</f>
        <v>0</v>
      </c>
      <c r="BT49" s="8">
        <f>BT37*'June 2024 YTD'!$CB$49</f>
        <v>0</v>
      </c>
      <c r="BU49" s="8">
        <f>BU37*'June 2024 YTD'!$CB$49</f>
        <v>0</v>
      </c>
      <c r="BV49" s="8">
        <f>BV37*'June 2024 YTD'!$CB$49</f>
        <v>0</v>
      </c>
      <c r="BW49" s="8">
        <f>BW37*'June 2024 YTD'!$CB$49</f>
        <v>0</v>
      </c>
      <c r="BX49" s="88">
        <v>0</v>
      </c>
      <c r="BY49" s="88">
        <v>0</v>
      </c>
      <c r="BZ49" s="88">
        <v>0</v>
      </c>
      <c r="CA49" s="8" t="e">
        <f t="shared" si="36"/>
        <v>#REF!</v>
      </c>
    </row>
    <row r="50" spans="1:81">
      <c r="A50" s="78" t="s">
        <v>127</v>
      </c>
      <c r="B50" s="8">
        <f>'June 2024 YTD'!B50*2</f>
        <v>0</v>
      </c>
      <c r="C50" s="8">
        <f>C37*'June 2024 YTD'!$CB$50</f>
        <v>39308.090264192491</v>
      </c>
      <c r="D50" s="8">
        <f>D37*'June 2024 YTD'!$CB$50</f>
        <v>28256.74245027193</v>
      </c>
      <c r="E50" s="8">
        <f>E37*'June 2024 YTD'!$CB$50</f>
        <v>5616.6909830689128</v>
      </c>
      <c r="F50" s="8">
        <f>F37*'June 2024 YTD'!$CB$50</f>
        <v>7066.3523819535812</v>
      </c>
      <c r="G50" s="8">
        <f>G37*'June 2024 YTD'!$CB$50</f>
        <v>2771.4633819400597</v>
      </c>
      <c r="H50" s="8">
        <f>H37*'June 2024 YTD'!$CB$50</f>
        <v>7899.6344306935107</v>
      </c>
      <c r="I50" s="8">
        <f>I37*'June 2024 YTD'!$CB$50</f>
        <v>13789.476553939479</v>
      </c>
      <c r="J50" s="8">
        <f>J37*'June 2024 YTD'!$CB$50</f>
        <v>36233.642133328103</v>
      </c>
      <c r="K50" s="8">
        <f>K37*'June 2024 YTD'!$CB$50</f>
        <v>10457.99510795226</v>
      </c>
      <c r="L50" s="8">
        <f>L37*'June 2024 YTD'!$CB$50</f>
        <v>1117.721268705599</v>
      </c>
      <c r="M50" s="8">
        <f>M37*'June 2024 YTD'!$CB$50</f>
        <v>9019.5185911709614</v>
      </c>
      <c r="N50" s="8">
        <f>N37*'June 2024 YTD'!$CB$50</f>
        <v>16148.226401745211</v>
      </c>
      <c r="O50" s="8">
        <f>O37*'June 2024 YTD'!$CB$50</f>
        <v>6056.7280780840756</v>
      </c>
      <c r="P50" s="8">
        <f>P37*'June 2024 YTD'!$CB$50</f>
        <v>0</v>
      </c>
      <c r="Q50" s="8">
        <f>Q37*'June 2024 YTD'!$CB$50</f>
        <v>174.32617131093104</v>
      </c>
      <c r="R50" s="8">
        <f>R37*'June 2024 YTD'!$CB$50</f>
        <v>244.05663983530343</v>
      </c>
      <c r="S50" s="8">
        <f>S37*'June 2024 YTD'!$CB$50</f>
        <v>1020.6733938919989</v>
      </c>
      <c r="T50" s="8">
        <f>T37*'June 2024 YTD'!$CB$50</f>
        <v>697.30468524372418</v>
      </c>
      <c r="U50" s="8">
        <f>U37*'June 2024 YTD'!$CB$50</f>
        <v>4491.0770652230785</v>
      </c>
      <c r="V50" s="8">
        <f>V37*'June 2024 YTD'!$CB$50</f>
        <v>3413.059802045002</v>
      </c>
      <c r="W50" s="8">
        <f>W37*'June 2024 YTD'!$CB$50</f>
        <v>3924.5328132396348</v>
      </c>
      <c r="X50" s="8">
        <f>X37*'June 2024 YTD'!$CB$50</f>
        <v>9282.9549726514924</v>
      </c>
      <c r="Y50" s="8">
        <f>Y37*'June 2024 YTD'!$CB$50</f>
        <v>1692.2969407284934</v>
      </c>
      <c r="Z50" s="8">
        <f>Z37*'June 2024 YTD'!$CB$50</f>
        <v>3250.826343446508</v>
      </c>
      <c r="AA50" s="8">
        <f>AA37*'June 2024 YTD'!$CB$50</f>
        <v>1280.7553632209035</v>
      </c>
      <c r="AB50" s="8">
        <f>AB37*'June 2024 YTD'!$CB$50</f>
        <v>20361.449863802456</v>
      </c>
      <c r="AC50" s="8">
        <f>AC37*'June 2024 YTD'!$CB$50</f>
        <v>576.61252234662061</v>
      </c>
      <c r="AD50" s="8">
        <f>AD37*'June 2024 YTD'!$CB$50</f>
        <v>266.26262449356489</v>
      </c>
      <c r="AE50" s="8" t="e">
        <f>AE37*'June 2024 YTD'!$CB$50</f>
        <v>#REF!</v>
      </c>
      <c r="AF50" s="8">
        <f>AF37*'June 2024 YTD'!$CB$50</f>
        <v>0</v>
      </c>
      <c r="AG50" s="8">
        <f>AG37*'June 2024 YTD'!$CB$50</f>
        <v>18672.473524679379</v>
      </c>
      <c r="AH50" s="8">
        <f>AH37*'June 2024 YTD'!$CB$50</f>
        <v>9964.7708851228635</v>
      </c>
      <c r="AI50" s="8">
        <f>AI37*'June 2024 YTD'!$CB$50</f>
        <v>0</v>
      </c>
      <c r="AJ50" s="88">
        <v>0</v>
      </c>
      <c r="AK50" s="88">
        <v>0</v>
      </c>
      <c r="AL50" s="88">
        <v>0</v>
      </c>
      <c r="AM50" s="88">
        <v>0</v>
      </c>
      <c r="AN50" s="88">
        <v>0</v>
      </c>
      <c r="AO50" s="88">
        <v>0</v>
      </c>
      <c r="AP50" s="88">
        <v>0</v>
      </c>
      <c r="AQ50" s="8">
        <f>AQ37*'June 2024 YTD'!$CB$50</f>
        <v>2385.7114989832985</v>
      </c>
      <c r="AR50" s="8">
        <f>AR37*'June 2024 YTD'!$CB$50</f>
        <v>0</v>
      </c>
      <c r="AS50" s="88">
        <v>0</v>
      </c>
      <c r="AT50" s="8">
        <f>AT37*'June 2024 YTD'!$CB$50</f>
        <v>0</v>
      </c>
      <c r="AU50" s="88">
        <v>0</v>
      </c>
      <c r="AV50" s="88">
        <v>0</v>
      </c>
      <c r="AW50" s="8">
        <f>AW37*'June 2024 YTD'!$CB$50</f>
        <v>6441.1331956806589</v>
      </c>
      <c r="AX50" s="8">
        <f>AX37*'June 2024 YTD'!$CB$50</f>
        <v>1731.0186484790509</v>
      </c>
      <c r="AY50" s="88">
        <v>0</v>
      </c>
      <c r="AZ50" s="8">
        <f>AZ37*'June 2024 YTD'!$CB$50</f>
        <v>18070.389745790813</v>
      </c>
      <c r="BA50" s="8">
        <f>BA37*'June 2024 YTD'!$CB$50</f>
        <v>7014.0135026953094</v>
      </c>
      <c r="BB50" s="8">
        <f>BB37*'June 2024 YTD'!$CB$50</f>
        <v>0</v>
      </c>
      <c r="BC50" s="88">
        <v>0</v>
      </c>
      <c r="BD50" s="88">
        <v>0</v>
      </c>
      <c r="BE50" s="88">
        <v>0</v>
      </c>
      <c r="BF50" s="88">
        <v>0</v>
      </c>
      <c r="BG50" s="8">
        <f>BG37*'June 2024 YTD'!$CB$50</f>
        <v>0</v>
      </c>
      <c r="BH50" s="8">
        <f>BH37*'June 2024 YTD'!$CB$50</f>
        <v>0</v>
      </c>
      <c r="BI50" s="8" t="e">
        <f>BI37*'June 2024 YTD'!$CB$50</f>
        <v>#REF!</v>
      </c>
      <c r="BJ50" s="8">
        <f>BJ37*'June 2024 YTD'!$CB$50</f>
        <v>0</v>
      </c>
      <c r="BK50" s="8">
        <f>BK37*'June 2024 YTD'!$CB$50</f>
        <v>0</v>
      </c>
      <c r="BL50" s="8">
        <f>BL37*'June 2024 YTD'!$CB$50</f>
        <v>0</v>
      </c>
      <c r="BM50" s="8">
        <f>BM37*'June 2024 YTD'!$CB$50</f>
        <v>0</v>
      </c>
      <c r="BN50" s="8">
        <f>BN37*'June 2024 YTD'!$CB$50</f>
        <v>0</v>
      </c>
      <c r="BO50" s="8">
        <f>BO37*'June 2024 YTD'!$CB$50</f>
        <v>0</v>
      </c>
      <c r="BP50" s="8">
        <f>BP37*'June 2024 YTD'!$CB$50</f>
        <v>0</v>
      </c>
      <c r="BQ50" s="8">
        <f>BQ37*'June 2024 YTD'!$CB$50</f>
        <v>0</v>
      </c>
      <c r="BR50" s="8">
        <f>BR37*'June 2024 YTD'!$CB$50</f>
        <v>0</v>
      </c>
      <c r="BS50" s="8">
        <f>BS37*'June 2024 YTD'!$CB$50</f>
        <v>0</v>
      </c>
      <c r="BT50" s="8">
        <f>BT37*'June 2024 YTD'!$CB$50</f>
        <v>0</v>
      </c>
      <c r="BU50" s="8">
        <f>BU37*'June 2024 YTD'!$CB$50</f>
        <v>0</v>
      </c>
      <c r="BV50" s="8">
        <f>BV37*'June 2024 YTD'!$CB$50</f>
        <v>0</v>
      </c>
      <c r="BW50" s="8">
        <f>BW37*'June 2024 YTD'!$CB$50</f>
        <v>0</v>
      </c>
      <c r="BX50" s="88">
        <v>0</v>
      </c>
      <c r="BY50" s="88">
        <v>0</v>
      </c>
      <c r="BZ50" s="88">
        <v>0</v>
      </c>
      <c r="CA50" s="8" t="e">
        <f t="shared" si="36"/>
        <v>#REF!</v>
      </c>
    </row>
    <row r="51" spans="1:81">
      <c r="A51" s="78" t="s">
        <v>128</v>
      </c>
      <c r="B51" s="8">
        <f>'June 2024 YTD'!B51*2</f>
        <v>0</v>
      </c>
      <c r="C51" s="8">
        <f>C37*'June 2024 YTD'!$CB$51</f>
        <v>1749.5359195225017</v>
      </c>
      <c r="D51" s="8">
        <f>D37*'June 2024 YTD'!$CB$51</f>
        <v>1257.6593152499361</v>
      </c>
      <c r="E51" s="8">
        <f>E37*'June 2024 YTD'!$CB$51</f>
        <v>249.98931664428147</v>
      </c>
      <c r="F51" s="8">
        <f>F37*'June 2024 YTD'!$CB$51</f>
        <v>314.5112680147945</v>
      </c>
      <c r="G51" s="8">
        <f>G37*'June 2024 YTD'!$CB$51</f>
        <v>123.3530986561922</v>
      </c>
      <c r="H51" s="8">
        <f>H37*'June 2024 YTD'!$CB$51</f>
        <v>351.59922791224682</v>
      </c>
      <c r="I51" s="8">
        <f>I37*'June 2024 YTD'!$CB$51</f>
        <v>613.74603498626846</v>
      </c>
      <c r="J51" s="8">
        <f>J37*'June 2024 YTD'!$CB$51</f>
        <v>1612.6974874973289</v>
      </c>
      <c r="K51" s="8">
        <f>K37*'June 2024 YTD'!$CB$51</f>
        <v>465.46748937890561</v>
      </c>
      <c r="L51" s="8">
        <f>L37*'June 2024 YTD'!$CB$51</f>
        <v>49.747863467080066</v>
      </c>
      <c r="M51" s="8">
        <f>M37*'June 2024 YTD'!$CB$51</f>
        <v>401.44335799567637</v>
      </c>
      <c r="N51" s="8">
        <f>N37*'June 2024 YTD'!$CB$51</f>
        <v>718.729959571981</v>
      </c>
      <c r="O51" s="8">
        <f>O37*'June 2024 YTD'!$CB$51</f>
        <v>269.57461571317737</v>
      </c>
      <c r="P51" s="8">
        <f>P37*'June 2024 YTD'!$CB$51</f>
        <v>0</v>
      </c>
      <c r="Q51" s="8">
        <f>Q37*'June 2024 YTD'!$CB$51</f>
        <v>7.7589599589155291</v>
      </c>
      <c r="R51" s="8">
        <f>R37*'June 2024 YTD'!$CB$51</f>
        <v>10.862543942481741</v>
      </c>
      <c r="S51" s="8">
        <f>S37*'June 2024 YTD'!$CB$51</f>
        <v>45.428428415451911</v>
      </c>
      <c r="T51" s="8">
        <f>T37*'June 2024 YTD'!$CB$51</f>
        <v>31.035839835662117</v>
      </c>
      <c r="U51" s="8">
        <f>U37*'June 2024 YTD'!$CB$51</f>
        <v>199.89016485262948</v>
      </c>
      <c r="V51" s="8">
        <f>V37*'June 2024 YTD'!$CB$51</f>
        <v>151.90945881681739</v>
      </c>
      <c r="W51" s="8">
        <f>W37*'June 2024 YTD'!$CB$51</f>
        <v>174.67424842977132</v>
      </c>
      <c r="X51" s="8">
        <f>X37*'June 2024 YTD'!$CB$51</f>
        <v>413.16846111850776</v>
      </c>
      <c r="Y51" s="8">
        <f>Y37*'June 2024 YTD'!$CB$51</f>
        <v>75.321244670072588</v>
      </c>
      <c r="Z51" s="8">
        <f>Z37*'June 2024 YTD'!$CB$51</f>
        <v>144.68872483409862</v>
      </c>
      <c r="AA51" s="8">
        <f>AA37*'June 2024 YTD'!$CB$51</f>
        <v>57.004232386156865</v>
      </c>
      <c r="AB51" s="8">
        <f>AB37*'June 2024 YTD'!$CB$51</f>
        <v>906.25333540382201</v>
      </c>
      <c r="AC51" s="8">
        <f>AC37*'June 2024 YTD'!$CB$51</f>
        <v>25.66403792989275</v>
      </c>
      <c r="AD51" s="8">
        <f>AD37*'June 2024 YTD'!$CB$51</f>
        <v>11.850894369248325</v>
      </c>
      <c r="AE51" s="8" t="e">
        <f>AE37*'June 2024 YTD'!$CB$51</f>
        <v>#REF!</v>
      </c>
      <c r="AF51" s="8">
        <f>AF37*'June 2024 YTD'!$CB$51</f>
        <v>0</v>
      </c>
      <c r="AG51" s="8">
        <f>AG37*'June 2024 YTD'!$CB$51</f>
        <v>831.07988503624676</v>
      </c>
      <c r="AH51" s="8">
        <f>AH37*'June 2024 YTD'!$CB$51</f>
        <v>443.5149221486256</v>
      </c>
      <c r="AI51" s="8">
        <f>AI37*'June 2024 YTD'!$CB$51</f>
        <v>0</v>
      </c>
      <c r="AJ51" s="88">
        <v>0</v>
      </c>
      <c r="AK51" s="88">
        <v>0</v>
      </c>
      <c r="AL51" s="88">
        <v>0</v>
      </c>
      <c r="AM51" s="88">
        <v>0</v>
      </c>
      <c r="AN51" s="88">
        <v>0</v>
      </c>
      <c r="AO51" s="88">
        <v>0</v>
      </c>
      <c r="AP51" s="88">
        <v>0</v>
      </c>
      <c r="AQ51" s="8">
        <f>AQ37*'June 2024 YTD'!$CB$51</f>
        <v>106.18394160174537</v>
      </c>
      <c r="AR51" s="8">
        <f>AR37*'June 2024 YTD'!$CB$51</f>
        <v>0</v>
      </c>
      <c r="AS51" s="88">
        <v>0</v>
      </c>
      <c r="AT51" s="8">
        <f>AT37*'June 2024 YTD'!$CB$51</f>
        <v>0</v>
      </c>
      <c r="AU51" s="88">
        <v>0</v>
      </c>
      <c r="AV51" s="88">
        <v>0</v>
      </c>
      <c r="AW51" s="8">
        <f>AW37*'June 2024 YTD'!$CB$51</f>
        <v>286.68383054308561</v>
      </c>
      <c r="AX51" s="8">
        <f>AX37*'June 2024 YTD'!$CB$51</f>
        <v>77.044681706050028</v>
      </c>
      <c r="AY51" s="88">
        <v>0</v>
      </c>
      <c r="AZ51" s="8">
        <f>AZ37*'June 2024 YTD'!$CB$51</f>
        <v>804.28216500844508</v>
      </c>
      <c r="BA51" s="8">
        <f>BA37*'June 2024 YTD'!$CB$51</f>
        <v>312.18175394696624</v>
      </c>
      <c r="BB51" s="8">
        <f>BB37*'June 2024 YTD'!$CB$51</f>
        <v>0</v>
      </c>
      <c r="BC51" s="88">
        <v>0</v>
      </c>
      <c r="BD51" s="88">
        <v>0</v>
      </c>
      <c r="BE51" s="88">
        <v>0</v>
      </c>
      <c r="BF51" s="88">
        <v>0</v>
      </c>
      <c r="BG51" s="8">
        <f>BG37*'June 2024 YTD'!$CB$51</f>
        <v>0</v>
      </c>
      <c r="BH51" s="8">
        <f>BH37*'June 2024 YTD'!$CB$51</f>
        <v>0</v>
      </c>
      <c r="BI51" s="8" t="e">
        <f>BI37*'June 2024 YTD'!$CB$51</f>
        <v>#REF!</v>
      </c>
      <c r="BJ51" s="8">
        <f>BJ37*'June 2024 YTD'!$CB$51</f>
        <v>0</v>
      </c>
      <c r="BK51" s="8">
        <f>BK37*'June 2024 YTD'!$CB$51</f>
        <v>0</v>
      </c>
      <c r="BL51" s="8">
        <f>BL37*'June 2024 YTD'!$CB$51</f>
        <v>0</v>
      </c>
      <c r="BM51" s="8">
        <f>BM37*'June 2024 YTD'!$CB$51</f>
        <v>0</v>
      </c>
      <c r="BN51" s="8">
        <f>BN37*'June 2024 YTD'!$CB$51</f>
        <v>0</v>
      </c>
      <c r="BO51" s="8">
        <f>BO37*'June 2024 YTD'!$CB$51</f>
        <v>0</v>
      </c>
      <c r="BP51" s="8">
        <f>BP37*'June 2024 YTD'!$CB$51</f>
        <v>0</v>
      </c>
      <c r="BQ51" s="8">
        <f>BQ37*'June 2024 YTD'!$CB$51</f>
        <v>0</v>
      </c>
      <c r="BR51" s="8">
        <f>BR37*'June 2024 YTD'!$CB$51</f>
        <v>0</v>
      </c>
      <c r="BS51" s="8">
        <f>BS37*'June 2024 YTD'!$CB$51</f>
        <v>0</v>
      </c>
      <c r="BT51" s="8">
        <f>BT37*'June 2024 YTD'!$CB$51</f>
        <v>0</v>
      </c>
      <c r="BU51" s="8">
        <f>BU37*'June 2024 YTD'!$CB$51</f>
        <v>0</v>
      </c>
      <c r="BV51" s="8">
        <f>BV37*'June 2024 YTD'!$CB$51</f>
        <v>0</v>
      </c>
      <c r="BW51" s="8">
        <f>BW37*'June 2024 YTD'!$CB$51</f>
        <v>0</v>
      </c>
      <c r="BX51" s="88">
        <v>0</v>
      </c>
      <c r="BY51" s="88">
        <v>0</v>
      </c>
      <c r="BZ51" s="88">
        <v>0</v>
      </c>
      <c r="CA51" s="8" t="e">
        <f t="shared" si="36"/>
        <v>#REF!</v>
      </c>
    </row>
    <row r="52" spans="1:81">
      <c r="A52" s="78" t="s">
        <v>129</v>
      </c>
      <c r="B52" s="8">
        <f>'June 2024 YTD'!B52*2</f>
        <v>0</v>
      </c>
      <c r="C52" s="8">
        <f>C37*'June 2024 YTD'!$CB$52</f>
        <v>1873.7992377546477</v>
      </c>
      <c r="D52" s="8">
        <f>D37*'June 2024 YTD'!$CB$52</f>
        <v>1346.9863864890219</v>
      </c>
      <c r="E52" s="8">
        <f>E37*'June 2024 YTD'!$CB$52</f>
        <v>267.74516930335892</v>
      </c>
      <c r="F52" s="8">
        <f>F37*'June 2024 YTD'!$CB$52</f>
        <v>336.84988555834565</v>
      </c>
      <c r="G52" s="8">
        <f>G37*'June 2024 YTD'!$CB$52</f>
        <v>132.1144308370252</v>
      </c>
      <c r="H52" s="8">
        <f>H37*'June 2024 YTD'!$CB$52</f>
        <v>376.57207143075021</v>
      </c>
      <c r="I52" s="8">
        <f>I37*'June 2024 YTD'!$CB$52</f>
        <v>657.33823449940098</v>
      </c>
      <c r="J52" s="8">
        <f>J37*'June 2024 YTD'!$CB$52</f>
        <v>1727.2416582484832</v>
      </c>
      <c r="K52" s="8">
        <f>K37*'June 2024 YTD'!$CB$52</f>
        <v>498.52799080330357</v>
      </c>
      <c r="L52" s="8">
        <f>L37*'June 2024 YTD'!$CB$52</f>
        <v>53.281277397253234</v>
      </c>
      <c r="M52" s="8">
        <f>M37*'June 2024 YTD'!$CB$52</f>
        <v>429.95645291996522</v>
      </c>
      <c r="N52" s="8">
        <f>N37*'June 2024 YTD'!$CB$52</f>
        <v>769.77879411871402</v>
      </c>
      <c r="O52" s="8">
        <f>O37*'June 2024 YTD'!$CB$52</f>
        <v>288.72154255582126</v>
      </c>
      <c r="P52" s="8">
        <f>P37*'June 2024 YTD'!$CB$52</f>
        <v>0</v>
      </c>
      <c r="Q52" s="8">
        <f>Q37*'June 2024 YTD'!$CB$52</f>
        <v>8.3100513082079441</v>
      </c>
      <c r="R52" s="8">
        <f>R37*'June 2024 YTD'!$CB$52</f>
        <v>11.63407183149112</v>
      </c>
      <c r="S52" s="8">
        <f>S37*'June 2024 YTD'!$CB$52</f>
        <v>48.655048225873571</v>
      </c>
      <c r="T52" s="8">
        <f>T37*'June 2024 YTD'!$CB$52</f>
        <v>33.240205232831777</v>
      </c>
      <c r="U52" s="8">
        <f>U37*'June 2024 YTD'!$CB$52</f>
        <v>214.08765282037453</v>
      </c>
      <c r="V52" s="8">
        <f>V37*'June 2024 YTD'!$CB$52</f>
        <v>162.69904776597102</v>
      </c>
      <c r="W52" s="8">
        <f>W37*'June 2024 YTD'!$CB$52</f>
        <v>187.08073947541601</v>
      </c>
      <c r="X52" s="8">
        <f>X37*'June 2024 YTD'!$CB$52</f>
        <v>442.51434844471248</v>
      </c>
      <c r="Y52" s="8">
        <f>Y37*'June 2024 YTD'!$CB$52</f>
        <v>80.671044975191847</v>
      </c>
      <c r="Z52" s="8">
        <f>Z37*'June 2024 YTD'!$CB$52</f>
        <v>154.96545071210755</v>
      </c>
      <c r="AA52" s="8">
        <f>AA37*'June 2024 YTD'!$CB$52</f>
        <v>61.053040410351947</v>
      </c>
      <c r="AB52" s="8">
        <f>AB37*'June 2024 YTD'!$CB$52</f>
        <v>970.62128884770698</v>
      </c>
      <c r="AC52" s="8">
        <f>AC37*'June 2024 YTD'!$CB$52</f>
        <v>27.486863329941997</v>
      </c>
      <c r="AD52" s="8">
        <f>AD37*'June 2024 YTD'!$CB$52</f>
        <v>12.692621276314844</v>
      </c>
      <c r="AE52" s="8" t="e">
        <f>AE37*'June 2024 YTD'!$CB$52</f>
        <v>#REF!</v>
      </c>
      <c r="AF52" s="8">
        <f>AF37*'June 2024 YTD'!$CB$52</f>
        <v>0</v>
      </c>
      <c r="AG52" s="8">
        <f>AG37*'June 2024 YTD'!$CB$52</f>
        <v>890.10853547903434</v>
      </c>
      <c r="AH52" s="8">
        <f>AH37*'June 2024 YTD'!$CB$52</f>
        <v>475.01621074560512</v>
      </c>
      <c r="AI52" s="8">
        <f>AI37*'June 2024 YTD'!$CB$52</f>
        <v>0</v>
      </c>
      <c r="AJ52" s="88">
        <v>0</v>
      </c>
      <c r="AK52" s="88">
        <v>0</v>
      </c>
      <c r="AL52" s="88">
        <v>0</v>
      </c>
      <c r="AM52" s="88">
        <v>0</v>
      </c>
      <c r="AN52" s="88">
        <v>0</v>
      </c>
      <c r="AO52" s="88">
        <v>0</v>
      </c>
      <c r="AP52" s="88">
        <v>0</v>
      </c>
      <c r="AQ52" s="8">
        <f>AQ37*'June 2024 YTD'!$CB$52</f>
        <v>113.72580957894159</v>
      </c>
      <c r="AR52" s="8">
        <f>AR37*'June 2024 YTD'!$CB$52</f>
        <v>0</v>
      </c>
      <c r="AS52" s="88">
        <v>0</v>
      </c>
      <c r="AT52" s="8">
        <f>AT37*'June 2024 YTD'!$CB$52</f>
        <v>0</v>
      </c>
      <c r="AU52" s="88">
        <v>0</v>
      </c>
      <c r="AV52" s="88">
        <v>0</v>
      </c>
      <c r="AW52" s="8">
        <f>AW37*'June 2024 YTD'!$CB$52</f>
        <v>307.04596410620155</v>
      </c>
      <c r="AX52" s="8">
        <f>AX37*'June 2024 YTD'!$CB$52</f>
        <v>82.516891618462836</v>
      </c>
      <c r="AY52" s="88">
        <v>0</v>
      </c>
      <c r="AZ52" s="8">
        <f>AZ37*'June 2024 YTD'!$CB$52</f>
        <v>861.40746864105699</v>
      </c>
      <c r="BA52" s="8">
        <f>BA37*'June 2024 YTD'!$CB$52</f>
        <v>334.35491438574655</v>
      </c>
      <c r="BB52" s="8">
        <f>BB37*'June 2024 YTD'!$CB$52</f>
        <v>0</v>
      </c>
      <c r="BC52" s="88">
        <v>0</v>
      </c>
      <c r="BD52" s="88">
        <v>0</v>
      </c>
      <c r="BE52" s="88">
        <v>0</v>
      </c>
      <c r="BF52" s="88">
        <v>0</v>
      </c>
      <c r="BG52" s="8">
        <f>BG37*'June 2024 YTD'!$CB$52</f>
        <v>0</v>
      </c>
      <c r="BH52" s="8">
        <f>BH37*'June 2024 YTD'!$CB$52</f>
        <v>0</v>
      </c>
      <c r="BI52" s="8" t="e">
        <f>BI37*'June 2024 YTD'!$CB$52</f>
        <v>#REF!</v>
      </c>
      <c r="BJ52" s="8">
        <f>BJ37*'June 2024 YTD'!$CB$52</f>
        <v>0</v>
      </c>
      <c r="BK52" s="8">
        <f>BK37*'June 2024 YTD'!$CB$52</f>
        <v>0</v>
      </c>
      <c r="BL52" s="8">
        <f>BL37*'June 2024 YTD'!$CB$52</f>
        <v>0</v>
      </c>
      <c r="BM52" s="8">
        <f>BM37*'June 2024 YTD'!$CB$52</f>
        <v>0</v>
      </c>
      <c r="BN52" s="8">
        <f>BN37*'June 2024 YTD'!$CB$52</f>
        <v>0</v>
      </c>
      <c r="BO52" s="8">
        <f>BO37*'June 2024 YTD'!$CB$52</f>
        <v>0</v>
      </c>
      <c r="BP52" s="8">
        <f>BP37*'June 2024 YTD'!$CB$52</f>
        <v>0</v>
      </c>
      <c r="BQ52" s="8">
        <f>BQ37*'June 2024 YTD'!$CB$52</f>
        <v>0</v>
      </c>
      <c r="BR52" s="8">
        <f>BR37*'June 2024 YTD'!$CB$52</f>
        <v>0</v>
      </c>
      <c r="BS52" s="8">
        <f>BS37*'June 2024 YTD'!$CB$52</f>
        <v>0</v>
      </c>
      <c r="BT52" s="8">
        <f>BT37*'June 2024 YTD'!$CB$52</f>
        <v>0</v>
      </c>
      <c r="BU52" s="8">
        <f>BU37*'June 2024 YTD'!$CB$52</f>
        <v>0</v>
      </c>
      <c r="BV52" s="8">
        <f>BV37*'June 2024 YTD'!$CB$52</f>
        <v>0</v>
      </c>
      <c r="BW52" s="8">
        <f>BW37*'June 2024 YTD'!$CB$52</f>
        <v>0</v>
      </c>
      <c r="BX52" s="88">
        <v>0</v>
      </c>
      <c r="BY52" s="88">
        <v>0</v>
      </c>
      <c r="BZ52" s="88">
        <v>0</v>
      </c>
      <c r="CA52" s="8" t="e">
        <f t="shared" si="36"/>
        <v>#REF!</v>
      </c>
    </row>
    <row r="53" spans="1:81">
      <c r="A53" s="78" t="s">
        <v>130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8">
        <v>0</v>
      </c>
      <c r="AK53" s="88">
        <v>0</v>
      </c>
      <c r="AL53" s="88">
        <v>0</v>
      </c>
      <c r="AM53" s="88">
        <v>0</v>
      </c>
      <c r="AN53" s="88">
        <v>0</v>
      </c>
      <c r="AO53" s="88">
        <v>0</v>
      </c>
      <c r="AP53" s="88">
        <v>0</v>
      </c>
      <c r="AQ53" s="8">
        <v>0</v>
      </c>
      <c r="AR53" s="8">
        <v>0</v>
      </c>
      <c r="AS53" s="88">
        <v>0</v>
      </c>
      <c r="AT53" s="8">
        <v>0</v>
      </c>
      <c r="AU53" s="88">
        <v>0</v>
      </c>
      <c r="AV53" s="88">
        <v>0</v>
      </c>
      <c r="AW53" s="8">
        <v>0</v>
      </c>
      <c r="AX53" s="8">
        <v>0</v>
      </c>
      <c r="AY53" s="88">
        <v>0</v>
      </c>
      <c r="AZ53" s="8">
        <v>0</v>
      </c>
      <c r="BA53" s="8">
        <v>0</v>
      </c>
      <c r="BB53" s="8">
        <v>0</v>
      </c>
      <c r="BC53" s="88">
        <v>0</v>
      </c>
      <c r="BD53" s="88">
        <v>0</v>
      </c>
      <c r="BE53" s="88">
        <v>0</v>
      </c>
      <c r="BF53" s="8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0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0</v>
      </c>
      <c r="BX53" s="88">
        <v>0</v>
      </c>
      <c r="BY53" s="88">
        <v>0</v>
      </c>
      <c r="BZ53" s="88">
        <v>0</v>
      </c>
      <c r="CA53" s="8">
        <f t="shared" si="36"/>
        <v>0</v>
      </c>
    </row>
    <row r="54" spans="1:81">
      <c r="A54" s="78" t="s">
        <v>131</v>
      </c>
      <c r="B54" s="8">
        <v>0</v>
      </c>
      <c r="C54" s="8" t="e">
        <f>'June 2024 YTD'!CB54*CA37</f>
        <v>#REF!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8">
        <v>0</v>
      </c>
      <c r="AK54" s="88">
        <v>0</v>
      </c>
      <c r="AL54" s="88">
        <v>0</v>
      </c>
      <c r="AM54" s="88">
        <v>0</v>
      </c>
      <c r="AN54" s="88">
        <v>0</v>
      </c>
      <c r="AO54" s="88">
        <v>0</v>
      </c>
      <c r="AP54" s="88">
        <v>0</v>
      </c>
      <c r="AQ54" s="8">
        <v>0</v>
      </c>
      <c r="AR54" s="8">
        <v>0</v>
      </c>
      <c r="AS54" s="88">
        <v>0</v>
      </c>
      <c r="AT54" s="8">
        <v>0</v>
      </c>
      <c r="AU54" s="88">
        <v>0</v>
      </c>
      <c r="AV54" s="88">
        <v>0</v>
      </c>
      <c r="AW54" s="8">
        <v>0</v>
      </c>
      <c r="AX54" s="8">
        <v>0</v>
      </c>
      <c r="AY54" s="88">
        <v>0</v>
      </c>
      <c r="AZ54" s="8">
        <v>0</v>
      </c>
      <c r="BA54" s="8">
        <v>0</v>
      </c>
      <c r="BB54" s="8">
        <v>0</v>
      </c>
      <c r="BC54" s="88">
        <v>0</v>
      </c>
      <c r="BD54" s="88">
        <v>0</v>
      </c>
      <c r="BE54" s="88">
        <v>0</v>
      </c>
      <c r="BF54" s="8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8">
        <v>0</v>
      </c>
      <c r="BY54" s="88">
        <v>0</v>
      </c>
      <c r="BZ54" s="88">
        <v>0</v>
      </c>
      <c r="CA54" s="8" t="e">
        <f t="shared" si="36"/>
        <v>#REF!</v>
      </c>
    </row>
    <row r="55" spans="1:81">
      <c r="A55" s="9" t="s">
        <v>132</v>
      </c>
      <c r="B55" s="10">
        <f t="shared" ref="B55:BN55" si="37">SUM(B46:B54)</f>
        <v>0</v>
      </c>
      <c r="C55" s="10" t="e">
        <f t="shared" si="37"/>
        <v>#REF!</v>
      </c>
      <c r="D55" s="10">
        <f t="shared" si="37"/>
        <v>98266.514323798605</v>
      </c>
      <c r="E55" s="10">
        <f t="shared" si="37"/>
        <v>19532.776855344138</v>
      </c>
      <c r="F55" s="10">
        <f t="shared" si="37"/>
        <v>24574.163804630894</v>
      </c>
      <c r="G55" s="10">
        <f t="shared" si="37"/>
        <v>9638.126071983761</v>
      </c>
      <c r="H55" s="10">
        <f t="shared" si="37"/>
        <v>27472.011018348854</v>
      </c>
      <c r="I55" s="10">
        <f t="shared" si="37"/>
        <v>47954.70665771448</v>
      </c>
      <c r="J55" s="10">
        <f t="shared" si="37"/>
        <v>126007.22535388409</v>
      </c>
      <c r="K55" s="10">
        <f t="shared" si="37"/>
        <v>36369.044587583609</v>
      </c>
      <c r="L55" s="10">
        <f t="shared" si="37"/>
        <v>3887.0217702754367</v>
      </c>
      <c r="M55" s="10">
        <f t="shared" si="37"/>
        <v>31366.554527397031</v>
      </c>
      <c r="N55" s="10">
        <f t="shared" si="37"/>
        <v>56157.567483358915</v>
      </c>
      <c r="O55" s="10">
        <f t="shared" si="37"/>
        <v>21063.063355155937</v>
      </c>
      <c r="P55" s="10">
        <f t="shared" si="37"/>
        <v>0</v>
      </c>
      <c r="Q55" s="10">
        <f t="shared" si="37"/>
        <v>606.24204082568315</v>
      </c>
      <c r="R55" s="10">
        <f t="shared" si="37"/>
        <v>848.73885715595645</v>
      </c>
      <c r="S55" s="10">
        <f t="shared" si="37"/>
        <v>3549.5251038692531</v>
      </c>
      <c r="T55" s="10">
        <f t="shared" si="37"/>
        <v>2424.9681633027326</v>
      </c>
      <c r="U55" s="10">
        <f t="shared" si="37"/>
        <v>15618.307366310723</v>
      </c>
      <c r="V55" s="10">
        <f t="shared" si="37"/>
        <v>11869.361463582605</v>
      </c>
      <c r="W55" s="10">
        <f t="shared" si="37"/>
        <v>13648.075696804846</v>
      </c>
      <c r="X55" s="10">
        <f t="shared" si="37"/>
        <v>32282.688968574173</v>
      </c>
      <c r="Y55" s="10">
        <f t="shared" si="37"/>
        <v>5885.1837524752136</v>
      </c>
      <c r="Z55" s="10">
        <f t="shared" si="37"/>
        <v>11305.173411431007</v>
      </c>
      <c r="AA55" s="10">
        <f t="shared" si="37"/>
        <v>4453.9941384509311</v>
      </c>
      <c r="AB55" s="10">
        <f t="shared" si="37"/>
        <v>70809.60263610979</v>
      </c>
      <c r="AC55" s="10">
        <f t="shared" si="37"/>
        <v>2005.2453953661793</v>
      </c>
      <c r="AD55" s="10">
        <f t="shared" si="37"/>
        <v>925.96307057458773</v>
      </c>
      <c r="AE55" s="10" t="e">
        <f t="shared" ref="AE55" si="38">SUM(AE46:AE54)</f>
        <v>#REF!</v>
      </c>
      <c r="AF55" s="10">
        <f t="shared" si="37"/>
        <v>0</v>
      </c>
      <c r="AG55" s="10">
        <f t="shared" si="37"/>
        <v>64935.966709637418</v>
      </c>
      <c r="AH55" s="10">
        <f t="shared" si="37"/>
        <v>34653.792900563938</v>
      </c>
      <c r="AI55" s="10">
        <f t="shared" si="37"/>
        <v>0</v>
      </c>
      <c r="AJ55" s="89">
        <f t="shared" si="37"/>
        <v>0</v>
      </c>
      <c r="AK55" s="89">
        <f t="shared" si="37"/>
        <v>0</v>
      </c>
      <c r="AL55" s="89">
        <f t="shared" si="37"/>
        <v>0</v>
      </c>
      <c r="AM55" s="89">
        <f t="shared" si="37"/>
        <v>0</v>
      </c>
      <c r="AN55" s="89">
        <f t="shared" si="37"/>
        <v>0</v>
      </c>
      <c r="AO55" s="89">
        <f t="shared" si="37"/>
        <v>0</v>
      </c>
      <c r="AP55" s="89">
        <f t="shared" si="37"/>
        <v>0</v>
      </c>
      <c r="AQ55" s="10">
        <f t="shared" si="37"/>
        <v>8296.6234908312017</v>
      </c>
      <c r="AR55" s="10">
        <f t="shared" si="37"/>
        <v>0</v>
      </c>
      <c r="AS55" s="89">
        <f t="shared" si="37"/>
        <v>0</v>
      </c>
      <c r="AT55" s="10">
        <f t="shared" si="37"/>
        <v>0</v>
      </c>
      <c r="AU55" s="89">
        <f t="shared" si="37"/>
        <v>0</v>
      </c>
      <c r="AV55" s="89">
        <f t="shared" si="37"/>
        <v>0</v>
      </c>
      <c r="AW55" s="10">
        <f t="shared" si="37"/>
        <v>22399.882383779764</v>
      </c>
      <c r="AX55" s="10">
        <f t="shared" si="37"/>
        <v>6019.8435511412663</v>
      </c>
      <c r="AY55" s="89">
        <f t="shared" si="37"/>
        <v>0</v>
      </c>
      <c r="AZ55" s="10">
        <f t="shared" si="37"/>
        <v>62842.141691187331</v>
      </c>
      <c r="BA55" s="10">
        <f t="shared" si="37"/>
        <v>24392.148512621359</v>
      </c>
      <c r="BB55" s="10">
        <f t="shared" si="37"/>
        <v>0</v>
      </c>
      <c r="BC55" s="89">
        <f t="shared" si="37"/>
        <v>0</v>
      </c>
      <c r="BD55" s="89">
        <f t="shared" si="37"/>
        <v>0</v>
      </c>
      <c r="BE55" s="89">
        <f t="shared" si="37"/>
        <v>0</v>
      </c>
      <c r="BF55" s="89">
        <f t="shared" si="37"/>
        <v>0</v>
      </c>
      <c r="BG55" s="10">
        <f t="shared" si="37"/>
        <v>0</v>
      </c>
      <c r="BH55" s="10">
        <f t="shared" si="37"/>
        <v>0</v>
      </c>
      <c r="BI55" s="10" t="e">
        <f t="shared" si="37"/>
        <v>#REF!</v>
      </c>
      <c r="BJ55" s="10">
        <f t="shared" si="37"/>
        <v>0</v>
      </c>
      <c r="BK55" s="10">
        <f t="shared" si="37"/>
        <v>0</v>
      </c>
      <c r="BL55" s="10">
        <f t="shared" si="37"/>
        <v>0</v>
      </c>
      <c r="BM55" s="10">
        <f t="shared" si="37"/>
        <v>0</v>
      </c>
      <c r="BN55" s="10">
        <f t="shared" si="37"/>
        <v>0</v>
      </c>
      <c r="BO55" s="10">
        <f t="shared" ref="BO55:CA55" si="39">SUM(BO46:BO54)</f>
        <v>0</v>
      </c>
      <c r="BP55" s="10">
        <f t="shared" si="39"/>
        <v>0</v>
      </c>
      <c r="BQ55" s="10">
        <f t="shared" si="39"/>
        <v>0</v>
      </c>
      <c r="BR55" s="10">
        <f t="shared" si="39"/>
        <v>0</v>
      </c>
      <c r="BS55" s="10">
        <f t="shared" si="39"/>
        <v>0</v>
      </c>
      <c r="BT55" s="10">
        <f t="shared" si="39"/>
        <v>0</v>
      </c>
      <c r="BU55" s="10">
        <f t="shared" si="39"/>
        <v>0</v>
      </c>
      <c r="BV55" s="10">
        <f t="shared" si="39"/>
        <v>0</v>
      </c>
      <c r="BW55" s="10">
        <f t="shared" si="39"/>
        <v>0</v>
      </c>
      <c r="BX55" s="89">
        <f t="shared" si="39"/>
        <v>0</v>
      </c>
      <c r="BY55" s="89">
        <f t="shared" si="39"/>
        <v>0</v>
      </c>
      <c r="BZ55" s="89">
        <f t="shared" si="39"/>
        <v>0</v>
      </c>
      <c r="CA55" s="10" t="e">
        <f t="shared" si="39"/>
        <v>#REF!</v>
      </c>
    </row>
    <row r="56" spans="1:81">
      <c r="A56" s="6" t="s">
        <v>133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87"/>
      <c r="AK56" s="87"/>
      <c r="AL56" s="87"/>
      <c r="AM56" s="87"/>
      <c r="AN56" s="87"/>
      <c r="AO56" s="87"/>
      <c r="AP56" s="87"/>
      <c r="AQ56" s="4"/>
      <c r="AR56" s="4"/>
      <c r="AS56" s="87"/>
      <c r="AT56" s="4"/>
      <c r="AU56" s="87"/>
      <c r="AV56" s="87"/>
      <c r="AW56" s="4"/>
      <c r="AX56" s="4"/>
      <c r="AY56" s="87"/>
      <c r="AZ56" s="4"/>
      <c r="BA56" s="4"/>
      <c r="BB56" s="4"/>
      <c r="BC56" s="87"/>
      <c r="BD56" s="87"/>
      <c r="BE56" s="87"/>
      <c r="BF56" s="87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87"/>
      <c r="BY56" s="87"/>
      <c r="BZ56" s="87"/>
      <c r="CA56" s="4"/>
    </row>
    <row r="57" spans="1:81">
      <c r="A57" s="78" t="s">
        <v>134</v>
      </c>
      <c r="B57" s="8">
        <v>0</v>
      </c>
      <c r="C57" s="8">
        <f>('June 2024 YTD'!C57*2)-32950</f>
        <v>33342.5</v>
      </c>
      <c r="D57" s="8">
        <f>'June 2024 YTD'!D57*2</f>
        <v>0</v>
      </c>
      <c r="E57" s="8">
        <f>'June 2024 YTD'!E57*2</f>
        <v>0</v>
      </c>
      <c r="F57" s="8">
        <f>'June 2024 YTD'!F57*2</f>
        <v>0</v>
      </c>
      <c r="G57" s="8">
        <f>'June 2024 YTD'!G57*2</f>
        <v>0</v>
      </c>
      <c r="H57" s="8">
        <f>'June 2024 YTD'!H57*2</f>
        <v>0</v>
      </c>
      <c r="I57" s="8">
        <f>'June 2024 YTD'!I57*2</f>
        <v>0</v>
      </c>
      <c r="J57" s="8">
        <f>'June 2024 YTD'!J57*2</f>
        <v>0</v>
      </c>
      <c r="K57" s="8">
        <f>'June 2024 YTD'!K57*2</f>
        <v>0</v>
      </c>
      <c r="L57" s="8">
        <f>'June 2024 YTD'!L57*2</f>
        <v>0</v>
      </c>
      <c r="M57" s="8">
        <f>'June 2024 YTD'!M57*2</f>
        <v>0</v>
      </c>
      <c r="N57" s="8">
        <f>'June 2024 YTD'!N57*2</f>
        <v>3000</v>
      </c>
      <c r="O57" s="8">
        <f>'June 2024 YTD'!O57*2</f>
        <v>0</v>
      </c>
      <c r="P57" s="8">
        <f>'June 2024 YTD'!P57*2</f>
        <v>0</v>
      </c>
      <c r="Q57" s="8">
        <f>'June 2024 YTD'!Q57*2</f>
        <v>0</v>
      </c>
      <c r="R57" s="8">
        <f>'June 2024 YTD'!R57*2</f>
        <v>0</v>
      </c>
      <c r="S57" s="8">
        <f>'June 2024 YTD'!S57*2</f>
        <v>0</v>
      </c>
      <c r="T57" s="8">
        <f>'June 2024 YTD'!T57*2</f>
        <v>0</v>
      </c>
      <c r="U57" s="8">
        <f>'June 2024 YTD'!U57*2</f>
        <v>357.5</v>
      </c>
      <c r="V57" s="8">
        <f>'June 2024 YTD'!V57*2</f>
        <v>0</v>
      </c>
      <c r="W57" s="8">
        <f>'June 2024 YTD'!W57*2</f>
        <v>0</v>
      </c>
      <c r="X57" s="8">
        <f>'June 2024 YTD'!X57*2</f>
        <v>0</v>
      </c>
      <c r="Y57" s="8">
        <f>'June 2024 YTD'!Y57*2</f>
        <v>0</v>
      </c>
      <c r="Z57" s="8">
        <f>'June 2024 YTD'!Z57*2</f>
        <v>0</v>
      </c>
      <c r="AA57" s="8">
        <f>'June 2024 YTD'!AA57*2</f>
        <v>0</v>
      </c>
      <c r="AB57" s="8">
        <f>'June 2024 YTD'!AB57*2</f>
        <v>0</v>
      </c>
      <c r="AC57" s="8">
        <f>'June 2024 YTD'!AC57*2</f>
        <v>0</v>
      </c>
      <c r="AD57" s="8">
        <f>'June 2024 YTD'!AD57*2</f>
        <v>0</v>
      </c>
      <c r="AE57" s="8">
        <v>0</v>
      </c>
      <c r="AF57" s="8">
        <f>'June 2024 YTD'!AE57*2</f>
        <v>0</v>
      </c>
      <c r="AG57" s="8">
        <f>'June 2024 YTD'!AF57*2</f>
        <v>0</v>
      </c>
      <c r="AH57" s="8">
        <f>'June 2024 YTD'!AG57*2</f>
        <v>0</v>
      </c>
      <c r="AI57" s="8">
        <v>0</v>
      </c>
      <c r="AJ57" s="88">
        <v>0</v>
      </c>
      <c r="AK57" s="88">
        <v>0</v>
      </c>
      <c r="AL57" s="88">
        <v>0</v>
      </c>
      <c r="AM57" s="88">
        <v>0</v>
      </c>
      <c r="AN57" s="88">
        <v>0</v>
      </c>
      <c r="AO57" s="88">
        <v>0</v>
      </c>
      <c r="AP57" s="88">
        <v>0</v>
      </c>
      <c r="AQ57" s="8">
        <f>'June 2024 YTD'!AP57*2</f>
        <v>0</v>
      </c>
      <c r="AR57" s="8">
        <f>'June 2024 YTD'!AQ57*2</f>
        <v>0</v>
      </c>
      <c r="AS57" s="88">
        <v>0</v>
      </c>
      <c r="AT57" s="8">
        <f>'June 2024 YTD'!AS57*2</f>
        <v>0</v>
      </c>
      <c r="AU57" s="88">
        <v>0</v>
      </c>
      <c r="AV57" s="88">
        <v>0</v>
      </c>
      <c r="AW57" s="8">
        <f>'June 2024 YTD'!AV57*2</f>
        <v>0</v>
      </c>
      <c r="AX57" s="8">
        <f>'June 2024 YTD'!AW57*2</f>
        <v>0</v>
      </c>
      <c r="AY57" s="88">
        <v>0</v>
      </c>
      <c r="AZ57" s="8">
        <f>'June 2024 YTD'!AY57*2</f>
        <v>0</v>
      </c>
      <c r="BA57" s="8">
        <f>2500*12</f>
        <v>30000</v>
      </c>
      <c r="BB57" s="8">
        <f>'June 2024 YTD'!BA57*2</f>
        <v>5290</v>
      </c>
      <c r="BC57" s="88">
        <v>0</v>
      </c>
      <c r="BD57" s="88">
        <v>0</v>
      </c>
      <c r="BE57" s="88">
        <v>0</v>
      </c>
      <c r="BF57" s="88">
        <v>0</v>
      </c>
      <c r="BG57" s="8">
        <f>'June 2024 YTD'!BF57*2</f>
        <v>0</v>
      </c>
      <c r="BH57" s="8">
        <f>'June 2024 YTD'!BG57*2</f>
        <v>0</v>
      </c>
      <c r="BI57" s="8">
        <f>'June 2024 YTD'!BH57*2</f>
        <v>0</v>
      </c>
      <c r="BJ57" s="8">
        <f>'June 2024 YTD'!BI57*2</f>
        <v>0</v>
      </c>
      <c r="BK57" s="8">
        <f>'June 2024 YTD'!BJ57*2</f>
        <v>0</v>
      </c>
      <c r="BL57" s="8">
        <f>'June 2024 YTD'!BK57*2</f>
        <v>0</v>
      </c>
      <c r="BM57" s="8">
        <f>'June 2024 YTD'!BL57*2</f>
        <v>0</v>
      </c>
      <c r="BN57" s="8">
        <f>'June 2024 YTD'!BM57*2</f>
        <v>0</v>
      </c>
      <c r="BO57" s="8">
        <f>'June 2024 YTD'!BN57*2</f>
        <v>0</v>
      </c>
      <c r="BP57" s="8">
        <f>'June 2024 YTD'!BO57*2</f>
        <v>0</v>
      </c>
      <c r="BQ57" s="8">
        <f>'June 2024 YTD'!BP57*2</f>
        <v>0</v>
      </c>
      <c r="BR57" s="8">
        <f>'June 2024 YTD'!BQ57*2</f>
        <v>0</v>
      </c>
      <c r="BS57" s="8">
        <f>'June 2024 YTD'!BR57*2</f>
        <v>0</v>
      </c>
      <c r="BT57" s="8">
        <f>'June 2024 YTD'!BS57*2</f>
        <v>0</v>
      </c>
      <c r="BU57" s="8">
        <f>'June 2024 YTD'!BT57*2</f>
        <v>0</v>
      </c>
      <c r="BV57" s="8">
        <f>'June 2024 YTD'!BU57*2</f>
        <v>0</v>
      </c>
      <c r="BW57" s="8">
        <f>'June 2024 YTD'!BV57*2</f>
        <v>0</v>
      </c>
      <c r="BX57" s="88">
        <v>0</v>
      </c>
      <c r="BY57" s="88">
        <v>0</v>
      </c>
      <c r="BZ57" s="88">
        <v>0</v>
      </c>
      <c r="CA57" s="8">
        <f t="shared" ref="CA57" si="40">SUM(B57:BZ57)</f>
        <v>71990</v>
      </c>
    </row>
    <row r="58" spans="1:81">
      <c r="A58" s="9" t="s">
        <v>135</v>
      </c>
      <c r="B58" s="10">
        <f t="shared" ref="B58:BN58" si="41">SUM(B57)</f>
        <v>0</v>
      </c>
      <c r="C58" s="10">
        <f t="shared" si="41"/>
        <v>33342.5</v>
      </c>
      <c r="D58" s="10">
        <f t="shared" si="41"/>
        <v>0</v>
      </c>
      <c r="E58" s="10">
        <f t="shared" si="41"/>
        <v>0</v>
      </c>
      <c r="F58" s="10">
        <f t="shared" si="41"/>
        <v>0</v>
      </c>
      <c r="G58" s="10">
        <f t="shared" si="41"/>
        <v>0</v>
      </c>
      <c r="H58" s="10">
        <f t="shared" si="41"/>
        <v>0</v>
      </c>
      <c r="I58" s="10">
        <f t="shared" si="41"/>
        <v>0</v>
      </c>
      <c r="J58" s="10">
        <f t="shared" si="41"/>
        <v>0</v>
      </c>
      <c r="K58" s="10">
        <f t="shared" si="41"/>
        <v>0</v>
      </c>
      <c r="L58" s="10">
        <f t="shared" si="41"/>
        <v>0</v>
      </c>
      <c r="M58" s="10">
        <f t="shared" si="41"/>
        <v>0</v>
      </c>
      <c r="N58" s="10">
        <f t="shared" si="41"/>
        <v>3000</v>
      </c>
      <c r="O58" s="10">
        <f t="shared" si="41"/>
        <v>0</v>
      </c>
      <c r="P58" s="10">
        <f t="shared" si="41"/>
        <v>0</v>
      </c>
      <c r="Q58" s="10">
        <f t="shared" si="41"/>
        <v>0</v>
      </c>
      <c r="R58" s="10">
        <f t="shared" si="41"/>
        <v>0</v>
      </c>
      <c r="S58" s="10">
        <f t="shared" si="41"/>
        <v>0</v>
      </c>
      <c r="T58" s="10">
        <f t="shared" si="41"/>
        <v>0</v>
      </c>
      <c r="U58" s="10">
        <f t="shared" si="41"/>
        <v>357.5</v>
      </c>
      <c r="V58" s="10">
        <f t="shared" si="41"/>
        <v>0</v>
      </c>
      <c r="W58" s="10">
        <f t="shared" si="41"/>
        <v>0</v>
      </c>
      <c r="X58" s="10">
        <f t="shared" si="41"/>
        <v>0</v>
      </c>
      <c r="Y58" s="10">
        <f t="shared" si="41"/>
        <v>0</v>
      </c>
      <c r="Z58" s="10">
        <f t="shared" si="41"/>
        <v>0</v>
      </c>
      <c r="AA58" s="10">
        <f t="shared" si="41"/>
        <v>0</v>
      </c>
      <c r="AB58" s="10">
        <f t="shared" si="41"/>
        <v>0</v>
      </c>
      <c r="AC58" s="10">
        <f t="shared" si="41"/>
        <v>0</v>
      </c>
      <c r="AD58" s="10">
        <f t="shared" si="41"/>
        <v>0</v>
      </c>
      <c r="AE58" s="10">
        <f t="shared" ref="AE58" si="42">SUM(AE57)</f>
        <v>0</v>
      </c>
      <c r="AF58" s="10">
        <f t="shared" si="41"/>
        <v>0</v>
      </c>
      <c r="AG58" s="10">
        <f t="shared" si="41"/>
        <v>0</v>
      </c>
      <c r="AH58" s="10">
        <f t="shared" si="41"/>
        <v>0</v>
      </c>
      <c r="AI58" s="10">
        <f t="shared" si="41"/>
        <v>0</v>
      </c>
      <c r="AJ58" s="89">
        <f t="shared" si="41"/>
        <v>0</v>
      </c>
      <c r="AK58" s="89">
        <f t="shared" si="41"/>
        <v>0</v>
      </c>
      <c r="AL58" s="89">
        <f t="shared" si="41"/>
        <v>0</v>
      </c>
      <c r="AM58" s="89">
        <f t="shared" si="41"/>
        <v>0</v>
      </c>
      <c r="AN58" s="89">
        <f t="shared" si="41"/>
        <v>0</v>
      </c>
      <c r="AO58" s="89">
        <f t="shared" si="41"/>
        <v>0</v>
      </c>
      <c r="AP58" s="89">
        <f t="shared" si="41"/>
        <v>0</v>
      </c>
      <c r="AQ58" s="10">
        <f t="shared" si="41"/>
        <v>0</v>
      </c>
      <c r="AR58" s="10">
        <f t="shared" si="41"/>
        <v>0</v>
      </c>
      <c r="AS58" s="89">
        <f t="shared" si="41"/>
        <v>0</v>
      </c>
      <c r="AT58" s="10">
        <f t="shared" si="41"/>
        <v>0</v>
      </c>
      <c r="AU58" s="89">
        <f t="shared" si="41"/>
        <v>0</v>
      </c>
      <c r="AV58" s="89">
        <f t="shared" si="41"/>
        <v>0</v>
      </c>
      <c r="AW58" s="10">
        <f t="shared" si="41"/>
        <v>0</v>
      </c>
      <c r="AX58" s="10">
        <f t="shared" si="41"/>
        <v>0</v>
      </c>
      <c r="AY58" s="89">
        <f t="shared" si="41"/>
        <v>0</v>
      </c>
      <c r="AZ58" s="10">
        <f t="shared" si="41"/>
        <v>0</v>
      </c>
      <c r="BA58" s="10">
        <f t="shared" si="41"/>
        <v>30000</v>
      </c>
      <c r="BB58" s="10">
        <f t="shared" si="41"/>
        <v>5290</v>
      </c>
      <c r="BC58" s="89">
        <f t="shared" si="41"/>
        <v>0</v>
      </c>
      <c r="BD58" s="89">
        <f t="shared" si="41"/>
        <v>0</v>
      </c>
      <c r="BE58" s="89">
        <f t="shared" si="41"/>
        <v>0</v>
      </c>
      <c r="BF58" s="89">
        <f t="shared" si="41"/>
        <v>0</v>
      </c>
      <c r="BG58" s="10">
        <f t="shared" si="41"/>
        <v>0</v>
      </c>
      <c r="BH58" s="10">
        <f t="shared" si="41"/>
        <v>0</v>
      </c>
      <c r="BI58" s="10">
        <f t="shared" si="41"/>
        <v>0</v>
      </c>
      <c r="BJ58" s="10">
        <f t="shared" si="41"/>
        <v>0</v>
      </c>
      <c r="BK58" s="10">
        <f t="shared" si="41"/>
        <v>0</v>
      </c>
      <c r="BL58" s="10">
        <f t="shared" si="41"/>
        <v>0</v>
      </c>
      <c r="BM58" s="10">
        <f t="shared" si="41"/>
        <v>0</v>
      </c>
      <c r="BN58" s="10">
        <f t="shared" si="41"/>
        <v>0</v>
      </c>
      <c r="BO58" s="10">
        <f t="shared" ref="BO58:CA58" si="43">SUM(BO57)</f>
        <v>0</v>
      </c>
      <c r="BP58" s="10">
        <f t="shared" si="43"/>
        <v>0</v>
      </c>
      <c r="BQ58" s="10">
        <f t="shared" si="43"/>
        <v>0</v>
      </c>
      <c r="BR58" s="10">
        <f t="shared" si="43"/>
        <v>0</v>
      </c>
      <c r="BS58" s="10">
        <f t="shared" si="43"/>
        <v>0</v>
      </c>
      <c r="BT58" s="10">
        <f t="shared" si="43"/>
        <v>0</v>
      </c>
      <c r="BU58" s="10">
        <f t="shared" si="43"/>
        <v>0</v>
      </c>
      <c r="BV58" s="10">
        <f t="shared" si="43"/>
        <v>0</v>
      </c>
      <c r="BW58" s="10">
        <f t="shared" si="43"/>
        <v>0</v>
      </c>
      <c r="BX58" s="89">
        <f t="shared" si="43"/>
        <v>0</v>
      </c>
      <c r="BY58" s="89">
        <f t="shared" si="43"/>
        <v>0</v>
      </c>
      <c r="BZ58" s="89">
        <f t="shared" si="43"/>
        <v>0</v>
      </c>
      <c r="CA58" s="10">
        <f t="shared" si="43"/>
        <v>71990</v>
      </c>
    </row>
    <row r="59" spans="1:81">
      <c r="A59" s="6" t="s">
        <v>136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87"/>
      <c r="AK59" s="87"/>
      <c r="AL59" s="87"/>
      <c r="AM59" s="87"/>
      <c r="AN59" s="87"/>
      <c r="AO59" s="87"/>
      <c r="AP59" s="87"/>
      <c r="AQ59" s="4"/>
      <c r="AR59" s="4"/>
      <c r="AS59" s="87"/>
      <c r="AT59" s="4"/>
      <c r="AU59" s="87"/>
      <c r="AV59" s="87"/>
      <c r="AW59" s="4"/>
      <c r="AX59" s="4"/>
      <c r="AY59" s="87"/>
      <c r="AZ59" s="4"/>
      <c r="BA59" s="4"/>
      <c r="BB59" s="4"/>
      <c r="BC59" s="87"/>
      <c r="BD59" s="87"/>
      <c r="BE59" s="87"/>
      <c r="BF59" s="87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87"/>
      <c r="BY59" s="87"/>
      <c r="BZ59" s="87"/>
      <c r="CA59" s="4"/>
    </row>
    <row r="60" spans="1:81">
      <c r="A60" s="78" t="s">
        <v>137</v>
      </c>
      <c r="B60" s="8">
        <v>0</v>
      </c>
      <c r="C60" s="8">
        <f>C181</f>
        <v>44455.008617622378</v>
      </c>
      <c r="D60" s="8">
        <f t="shared" ref="D60:AI60" si="44">D181</f>
        <v>25779.260689958854</v>
      </c>
      <c r="E60" s="8">
        <f t="shared" si="44"/>
        <v>4660.0440955396771</v>
      </c>
      <c r="F60" s="8">
        <f t="shared" si="44"/>
        <v>4976.7020935327091</v>
      </c>
      <c r="G60" s="8">
        <f t="shared" si="44"/>
        <v>2899.9593290247994</v>
      </c>
      <c r="H60" s="8">
        <f t="shared" si="44"/>
        <v>7796.113442199683</v>
      </c>
      <c r="I60" s="8">
        <f t="shared" si="44"/>
        <v>12496.832001154175</v>
      </c>
      <c r="J60" s="8">
        <f t="shared" si="44"/>
        <v>24887.662676059314</v>
      </c>
      <c r="K60" s="8">
        <f t="shared" si="44"/>
        <v>10437.870754027364</v>
      </c>
      <c r="L60" s="8">
        <f t="shared" si="44"/>
        <v>1832.213042856763</v>
      </c>
      <c r="M60" s="8">
        <f t="shared" si="44"/>
        <v>7162.3093696160649</v>
      </c>
      <c r="N60" s="8">
        <f t="shared" si="44"/>
        <v>13510.222985038787</v>
      </c>
      <c r="O60" s="8">
        <f t="shared" si="44"/>
        <v>3133.3044354892154</v>
      </c>
      <c r="P60" s="8">
        <f t="shared" si="44"/>
        <v>701.47762238149187</v>
      </c>
      <c r="Q60" s="8">
        <f t="shared" si="44"/>
        <v>358.10238844226438</v>
      </c>
      <c r="R60" s="8">
        <f t="shared" si="44"/>
        <v>383.06103975793735</v>
      </c>
      <c r="S60" s="8">
        <f t="shared" si="44"/>
        <v>824.21334045310357</v>
      </c>
      <c r="T60" s="8">
        <f t="shared" si="44"/>
        <v>2092.6511435420466</v>
      </c>
      <c r="U60" s="8">
        <f t="shared" si="44"/>
        <v>3478.3213595988345</v>
      </c>
      <c r="V60" s="8">
        <f t="shared" si="44"/>
        <v>2638.137195200582</v>
      </c>
      <c r="W60" s="8">
        <f t="shared" si="44"/>
        <v>3023.0197514365268</v>
      </c>
      <c r="X60" s="8">
        <f t="shared" si="44"/>
        <v>7493.9800037356554</v>
      </c>
      <c r="Y60" s="8">
        <f t="shared" si="44"/>
        <v>1309.6315920174241</v>
      </c>
      <c r="Z60" s="8">
        <f t="shared" si="44"/>
        <v>2528.6136725016818</v>
      </c>
      <c r="AA60" s="8">
        <f t="shared" si="44"/>
        <v>1275.2173323974064</v>
      </c>
      <c r="AB60" s="8">
        <f t="shared" si="44"/>
        <v>15905.143161405205</v>
      </c>
      <c r="AC60" s="8">
        <f t="shared" si="44"/>
        <v>532.72690187805119</v>
      </c>
      <c r="AD60" s="8">
        <f t="shared" si="44"/>
        <v>221.97799558073976</v>
      </c>
      <c r="AE60" s="8">
        <v>0</v>
      </c>
      <c r="AF60" s="8">
        <f t="shared" si="44"/>
        <v>291.40388081140543</v>
      </c>
      <c r="AG60" s="8">
        <f t="shared" si="44"/>
        <v>123832.41127139417</v>
      </c>
      <c r="AH60" s="8">
        <f t="shared" si="44"/>
        <v>49695.589110607223</v>
      </c>
      <c r="AI60" s="8">
        <f t="shared" si="44"/>
        <v>0</v>
      </c>
      <c r="AJ60" s="88">
        <v>0</v>
      </c>
      <c r="AK60" s="88">
        <v>0</v>
      </c>
      <c r="AL60" s="88">
        <v>0</v>
      </c>
      <c r="AM60" s="88">
        <v>0</v>
      </c>
      <c r="AN60" s="88">
        <v>0</v>
      </c>
      <c r="AO60" s="88">
        <v>0</v>
      </c>
      <c r="AP60" s="88">
        <v>0</v>
      </c>
      <c r="AQ60" s="8">
        <f t="shared" ref="AQ60:AR60" si="45">AQ181</f>
        <v>1611.9258160271279</v>
      </c>
      <c r="AR60" s="8">
        <f t="shared" si="45"/>
        <v>248.03628636693637</v>
      </c>
      <c r="AS60" s="88">
        <v>0</v>
      </c>
      <c r="AT60" s="8">
        <f t="shared" ref="AT60" si="46">AT181</f>
        <v>367.80272879080718</v>
      </c>
      <c r="AU60" s="88">
        <v>0</v>
      </c>
      <c r="AV60" s="88">
        <v>0</v>
      </c>
      <c r="AW60" s="8">
        <f t="shared" ref="AW60:AX60" si="47">AW181</f>
        <v>8441.4111807412992</v>
      </c>
      <c r="AX60" s="8">
        <f t="shared" si="47"/>
        <v>1275.4490913024806</v>
      </c>
      <c r="AY60" s="88">
        <v>0</v>
      </c>
      <c r="AZ60" s="8">
        <f t="shared" ref="AZ60:BB60" si="48">AZ181</f>
        <v>11269.915699631894</v>
      </c>
      <c r="BA60" s="8">
        <f t="shared" si="48"/>
        <v>0</v>
      </c>
      <c r="BB60" s="8">
        <f t="shared" si="48"/>
        <v>0</v>
      </c>
      <c r="BC60" s="88">
        <v>0</v>
      </c>
      <c r="BD60" s="88">
        <v>0</v>
      </c>
      <c r="BE60" s="88">
        <v>0</v>
      </c>
      <c r="BF60" s="88">
        <v>0</v>
      </c>
      <c r="BG60" s="8">
        <f t="shared" ref="BG60:BI60" si="49">BG181</f>
        <v>0</v>
      </c>
      <c r="BH60" s="8">
        <f t="shared" si="49"/>
        <v>0</v>
      </c>
      <c r="BI60" s="8">
        <f t="shared" si="49"/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8">
        <v>0</v>
      </c>
      <c r="BY60" s="88">
        <v>0</v>
      </c>
      <c r="BZ60" s="88">
        <v>0</v>
      </c>
      <c r="CA60" s="8">
        <f t="shared" ref="CA60" si="50">SUM(B60:BZ60)</f>
        <v>403827.72309812205</v>
      </c>
    </row>
    <row r="61" spans="1:81">
      <c r="A61" s="9" t="s">
        <v>138</v>
      </c>
      <c r="B61" s="10">
        <f t="shared" ref="B61:BN61" si="51">SUM(B60)</f>
        <v>0</v>
      </c>
      <c r="C61" s="10">
        <f t="shared" si="51"/>
        <v>44455.008617622378</v>
      </c>
      <c r="D61" s="10">
        <f t="shared" si="51"/>
        <v>25779.260689958854</v>
      </c>
      <c r="E61" s="10">
        <f t="shared" si="51"/>
        <v>4660.0440955396771</v>
      </c>
      <c r="F61" s="10">
        <f t="shared" si="51"/>
        <v>4976.7020935327091</v>
      </c>
      <c r="G61" s="10">
        <f t="shared" si="51"/>
        <v>2899.9593290247994</v>
      </c>
      <c r="H61" s="10">
        <f t="shared" si="51"/>
        <v>7796.113442199683</v>
      </c>
      <c r="I61" s="10">
        <f t="shared" si="51"/>
        <v>12496.832001154175</v>
      </c>
      <c r="J61" s="10">
        <f t="shared" si="51"/>
        <v>24887.662676059314</v>
      </c>
      <c r="K61" s="10">
        <f t="shared" si="51"/>
        <v>10437.870754027364</v>
      </c>
      <c r="L61" s="10">
        <f t="shared" si="51"/>
        <v>1832.213042856763</v>
      </c>
      <c r="M61" s="10">
        <f t="shared" si="51"/>
        <v>7162.3093696160649</v>
      </c>
      <c r="N61" s="10">
        <f t="shared" si="51"/>
        <v>13510.222985038787</v>
      </c>
      <c r="O61" s="10">
        <f t="shared" si="51"/>
        <v>3133.3044354892154</v>
      </c>
      <c r="P61" s="10">
        <f t="shared" si="51"/>
        <v>701.47762238149187</v>
      </c>
      <c r="Q61" s="10">
        <f t="shared" si="51"/>
        <v>358.10238844226438</v>
      </c>
      <c r="R61" s="10">
        <f t="shared" si="51"/>
        <v>383.06103975793735</v>
      </c>
      <c r="S61" s="10">
        <f t="shared" si="51"/>
        <v>824.21334045310357</v>
      </c>
      <c r="T61" s="10">
        <f t="shared" si="51"/>
        <v>2092.6511435420466</v>
      </c>
      <c r="U61" s="10">
        <f t="shared" si="51"/>
        <v>3478.3213595988345</v>
      </c>
      <c r="V61" s="10">
        <f t="shared" si="51"/>
        <v>2638.137195200582</v>
      </c>
      <c r="W61" s="10">
        <f t="shared" si="51"/>
        <v>3023.0197514365268</v>
      </c>
      <c r="X61" s="10">
        <f t="shared" si="51"/>
        <v>7493.9800037356554</v>
      </c>
      <c r="Y61" s="10">
        <f t="shared" si="51"/>
        <v>1309.6315920174241</v>
      </c>
      <c r="Z61" s="10">
        <f t="shared" si="51"/>
        <v>2528.6136725016818</v>
      </c>
      <c r="AA61" s="10">
        <f t="shared" si="51"/>
        <v>1275.2173323974064</v>
      </c>
      <c r="AB61" s="10">
        <f t="shared" si="51"/>
        <v>15905.143161405205</v>
      </c>
      <c r="AC61" s="10">
        <f t="shared" si="51"/>
        <v>532.72690187805119</v>
      </c>
      <c r="AD61" s="10">
        <f t="shared" si="51"/>
        <v>221.97799558073976</v>
      </c>
      <c r="AE61" s="10">
        <f t="shared" ref="AE61" si="52">SUM(AE60)</f>
        <v>0</v>
      </c>
      <c r="AF61" s="10">
        <f t="shared" si="51"/>
        <v>291.40388081140543</v>
      </c>
      <c r="AG61" s="10">
        <f t="shared" si="51"/>
        <v>123832.41127139417</v>
      </c>
      <c r="AH61" s="10">
        <f t="shared" si="51"/>
        <v>49695.589110607223</v>
      </c>
      <c r="AI61" s="10">
        <f t="shared" si="51"/>
        <v>0</v>
      </c>
      <c r="AJ61" s="89">
        <f t="shared" si="51"/>
        <v>0</v>
      </c>
      <c r="AK61" s="89">
        <f t="shared" si="51"/>
        <v>0</v>
      </c>
      <c r="AL61" s="89">
        <f t="shared" si="51"/>
        <v>0</v>
      </c>
      <c r="AM61" s="89">
        <f t="shared" si="51"/>
        <v>0</v>
      </c>
      <c r="AN61" s="89">
        <f t="shared" si="51"/>
        <v>0</v>
      </c>
      <c r="AO61" s="89">
        <f t="shared" si="51"/>
        <v>0</v>
      </c>
      <c r="AP61" s="89">
        <f t="shared" si="51"/>
        <v>0</v>
      </c>
      <c r="AQ61" s="10">
        <f t="shared" si="51"/>
        <v>1611.9258160271279</v>
      </c>
      <c r="AR61" s="10">
        <f t="shared" si="51"/>
        <v>248.03628636693637</v>
      </c>
      <c r="AS61" s="89">
        <f t="shared" si="51"/>
        <v>0</v>
      </c>
      <c r="AT61" s="10">
        <f t="shared" si="51"/>
        <v>367.80272879080718</v>
      </c>
      <c r="AU61" s="89">
        <f t="shared" si="51"/>
        <v>0</v>
      </c>
      <c r="AV61" s="89">
        <f t="shared" si="51"/>
        <v>0</v>
      </c>
      <c r="AW61" s="10">
        <f t="shared" si="51"/>
        <v>8441.4111807412992</v>
      </c>
      <c r="AX61" s="10">
        <f t="shared" si="51"/>
        <v>1275.4490913024806</v>
      </c>
      <c r="AY61" s="89">
        <f t="shared" si="51"/>
        <v>0</v>
      </c>
      <c r="AZ61" s="10">
        <f t="shared" si="51"/>
        <v>11269.915699631894</v>
      </c>
      <c r="BA61" s="10">
        <f t="shared" si="51"/>
        <v>0</v>
      </c>
      <c r="BB61" s="10">
        <f t="shared" si="51"/>
        <v>0</v>
      </c>
      <c r="BC61" s="89">
        <f t="shared" si="51"/>
        <v>0</v>
      </c>
      <c r="BD61" s="89">
        <f t="shared" si="51"/>
        <v>0</v>
      </c>
      <c r="BE61" s="89">
        <f t="shared" si="51"/>
        <v>0</v>
      </c>
      <c r="BF61" s="89">
        <f t="shared" si="51"/>
        <v>0</v>
      </c>
      <c r="BG61" s="10">
        <f t="shared" si="51"/>
        <v>0</v>
      </c>
      <c r="BH61" s="10">
        <f t="shared" si="51"/>
        <v>0</v>
      </c>
      <c r="BI61" s="10">
        <f t="shared" si="51"/>
        <v>0</v>
      </c>
      <c r="BJ61" s="10">
        <f t="shared" si="51"/>
        <v>0</v>
      </c>
      <c r="BK61" s="10">
        <f t="shared" si="51"/>
        <v>0</v>
      </c>
      <c r="BL61" s="10">
        <f t="shared" si="51"/>
        <v>0</v>
      </c>
      <c r="BM61" s="10">
        <f t="shared" si="51"/>
        <v>0</v>
      </c>
      <c r="BN61" s="10">
        <f t="shared" si="51"/>
        <v>0</v>
      </c>
      <c r="BO61" s="10">
        <f t="shared" ref="BO61:CA61" si="53">SUM(BO60)</f>
        <v>0</v>
      </c>
      <c r="BP61" s="10">
        <f t="shared" si="53"/>
        <v>0</v>
      </c>
      <c r="BQ61" s="10">
        <f t="shared" si="53"/>
        <v>0</v>
      </c>
      <c r="BR61" s="10">
        <f t="shared" si="53"/>
        <v>0</v>
      </c>
      <c r="BS61" s="10">
        <f t="shared" si="53"/>
        <v>0</v>
      </c>
      <c r="BT61" s="10">
        <f t="shared" si="53"/>
        <v>0</v>
      </c>
      <c r="BU61" s="10">
        <f t="shared" si="53"/>
        <v>0</v>
      </c>
      <c r="BV61" s="10">
        <f t="shared" si="53"/>
        <v>0</v>
      </c>
      <c r="BW61" s="10">
        <f t="shared" si="53"/>
        <v>0</v>
      </c>
      <c r="BX61" s="89">
        <f t="shared" si="53"/>
        <v>0</v>
      </c>
      <c r="BY61" s="89">
        <f t="shared" si="53"/>
        <v>0</v>
      </c>
      <c r="BZ61" s="89">
        <f t="shared" si="53"/>
        <v>0</v>
      </c>
      <c r="CA61" s="10">
        <f t="shared" si="53"/>
        <v>403827.72309812205</v>
      </c>
    </row>
    <row r="62" spans="1:81">
      <c r="A62" s="6" t="s">
        <v>139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87"/>
      <c r="AK62" s="87"/>
      <c r="AL62" s="87"/>
      <c r="AM62" s="87"/>
      <c r="AN62" s="87"/>
      <c r="AO62" s="87"/>
      <c r="AP62" s="87"/>
      <c r="AQ62" s="4"/>
      <c r="AR62" s="4"/>
      <c r="AS62" s="87"/>
      <c r="AT62" s="4"/>
      <c r="AU62" s="87"/>
      <c r="AV62" s="87"/>
      <c r="AW62" s="4"/>
      <c r="AX62" s="4"/>
      <c r="AY62" s="87"/>
      <c r="AZ62" s="4"/>
      <c r="BA62" s="4"/>
      <c r="BB62" s="4"/>
      <c r="BC62" s="87"/>
      <c r="BD62" s="87"/>
      <c r="BE62" s="87"/>
      <c r="BF62" s="87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87"/>
      <c r="BY62" s="87"/>
      <c r="BZ62" s="87"/>
      <c r="CA62" s="4"/>
    </row>
    <row r="63" spans="1:81">
      <c r="A63" s="78" t="s">
        <v>140</v>
      </c>
      <c r="B63" s="8">
        <v>0</v>
      </c>
      <c r="C63" s="8">
        <f>C196</f>
        <v>3159.093789791013</v>
      </c>
      <c r="D63" s="8">
        <f t="shared" ref="D63:BP65" si="54">D196</f>
        <v>1336.6636421900689</v>
      </c>
      <c r="E63" s="8">
        <f t="shared" si="54"/>
        <v>473.69156938253275</v>
      </c>
      <c r="F63" s="8">
        <f t="shared" si="54"/>
        <v>0</v>
      </c>
      <c r="G63" s="8">
        <f t="shared" si="54"/>
        <v>198.91868299322076</v>
      </c>
      <c r="H63" s="8">
        <f t="shared" si="54"/>
        <v>284.32842787038754</v>
      </c>
      <c r="I63" s="8">
        <f t="shared" si="54"/>
        <v>1612.8891524624898</v>
      </c>
      <c r="J63" s="8">
        <f t="shared" si="54"/>
        <v>560.80360787271786</v>
      </c>
      <c r="K63" s="8">
        <f t="shared" si="54"/>
        <v>767.73441947121091</v>
      </c>
      <c r="L63" s="8">
        <f t="shared" si="54"/>
        <v>0</v>
      </c>
      <c r="M63" s="8">
        <f t="shared" si="54"/>
        <v>0</v>
      </c>
      <c r="N63" s="8">
        <f t="shared" si="54"/>
        <v>85.409744877166801</v>
      </c>
      <c r="O63" s="8">
        <f t="shared" si="54"/>
        <v>0</v>
      </c>
      <c r="P63" s="8">
        <f t="shared" si="54"/>
        <v>0</v>
      </c>
      <c r="Q63" s="8">
        <f t="shared" si="54"/>
        <v>0</v>
      </c>
      <c r="R63" s="8">
        <f t="shared" si="54"/>
        <v>0</v>
      </c>
      <c r="S63" s="8">
        <f t="shared" si="54"/>
        <v>0</v>
      </c>
      <c r="T63" s="8">
        <f t="shared" si="54"/>
        <v>0</v>
      </c>
      <c r="U63" s="8">
        <f t="shared" si="54"/>
        <v>77.034460301117207</v>
      </c>
      <c r="V63" s="8">
        <f t="shared" si="54"/>
        <v>0</v>
      </c>
      <c r="W63" s="8">
        <f t="shared" si="54"/>
        <v>0</v>
      </c>
      <c r="X63" s="8">
        <f t="shared" si="54"/>
        <v>0</v>
      </c>
      <c r="Y63" s="8">
        <f t="shared" si="54"/>
        <v>0</v>
      </c>
      <c r="Z63" s="8">
        <f t="shared" si="54"/>
        <v>0</v>
      </c>
      <c r="AA63" s="8">
        <f t="shared" si="54"/>
        <v>94.965286358242324</v>
      </c>
      <c r="AB63" s="8">
        <f t="shared" si="54"/>
        <v>560.80360787271786</v>
      </c>
      <c r="AC63" s="8">
        <f t="shared" si="54"/>
        <v>0</v>
      </c>
      <c r="AD63" s="8">
        <f t="shared" si="54"/>
        <v>0</v>
      </c>
      <c r="AE63" s="8">
        <v>0</v>
      </c>
      <c r="AF63" s="8">
        <f t="shared" si="54"/>
        <v>0</v>
      </c>
      <c r="AG63" s="8">
        <f t="shared" si="54"/>
        <v>1022.8968834385532</v>
      </c>
      <c r="AH63" s="8">
        <f t="shared" si="54"/>
        <v>0</v>
      </c>
      <c r="AI63" s="8">
        <f t="shared" si="54"/>
        <v>0</v>
      </c>
      <c r="AJ63" s="88">
        <f t="shared" si="54"/>
        <v>0</v>
      </c>
      <c r="AK63" s="88">
        <f t="shared" si="54"/>
        <v>0</v>
      </c>
      <c r="AL63" s="88">
        <f t="shared" si="54"/>
        <v>0</v>
      </c>
      <c r="AM63" s="88">
        <f t="shared" si="54"/>
        <v>0</v>
      </c>
      <c r="AN63" s="88">
        <f t="shared" si="54"/>
        <v>0</v>
      </c>
      <c r="AO63" s="88">
        <f t="shared" si="54"/>
        <v>0</v>
      </c>
      <c r="AP63" s="88">
        <f t="shared" si="54"/>
        <v>0</v>
      </c>
      <c r="AQ63" s="8">
        <f t="shared" si="54"/>
        <v>0</v>
      </c>
      <c r="AR63" s="8">
        <f t="shared" si="54"/>
        <v>0</v>
      </c>
      <c r="AS63" s="88">
        <f t="shared" si="54"/>
        <v>0</v>
      </c>
      <c r="AT63" s="8">
        <f t="shared" si="54"/>
        <v>0</v>
      </c>
      <c r="AU63" s="88">
        <f t="shared" si="54"/>
        <v>0</v>
      </c>
      <c r="AV63" s="88">
        <f t="shared" si="54"/>
        <v>0</v>
      </c>
      <c r="AW63" s="8">
        <f t="shared" si="54"/>
        <v>0</v>
      </c>
      <c r="AX63" s="8">
        <f t="shared" si="54"/>
        <v>0</v>
      </c>
      <c r="AY63" s="88">
        <f t="shared" si="54"/>
        <v>0</v>
      </c>
      <c r="AZ63" s="8">
        <f t="shared" si="54"/>
        <v>0</v>
      </c>
      <c r="BA63" s="8">
        <f t="shared" si="54"/>
        <v>0</v>
      </c>
      <c r="BB63" s="8">
        <f t="shared" si="54"/>
        <v>0</v>
      </c>
      <c r="BC63" s="88">
        <f t="shared" si="54"/>
        <v>0</v>
      </c>
      <c r="BD63" s="88">
        <f t="shared" si="54"/>
        <v>0</v>
      </c>
      <c r="BE63" s="88">
        <f t="shared" si="54"/>
        <v>0</v>
      </c>
      <c r="BF63" s="88">
        <f t="shared" si="54"/>
        <v>0</v>
      </c>
      <c r="BG63" s="8">
        <f>0</f>
        <v>0</v>
      </c>
      <c r="BH63" s="8">
        <f t="shared" si="54"/>
        <v>0</v>
      </c>
      <c r="BI63" s="8">
        <f t="shared" si="54"/>
        <v>0</v>
      </c>
      <c r="BJ63" s="8">
        <f t="shared" si="54"/>
        <v>0</v>
      </c>
      <c r="BK63" s="8">
        <f t="shared" si="54"/>
        <v>0</v>
      </c>
      <c r="BL63" s="8">
        <f t="shared" si="54"/>
        <v>0</v>
      </c>
      <c r="BM63" s="8">
        <f t="shared" si="54"/>
        <v>0</v>
      </c>
      <c r="BN63" s="8">
        <f t="shared" si="54"/>
        <v>0</v>
      </c>
      <c r="BO63" s="8">
        <f t="shared" si="54"/>
        <v>0</v>
      </c>
      <c r="BP63" s="8">
        <f t="shared" si="54"/>
        <v>0</v>
      </c>
      <c r="BQ63" s="8">
        <f t="shared" ref="BQ63:BZ65" si="55">BQ196</f>
        <v>0</v>
      </c>
      <c r="BR63" s="8">
        <f t="shared" si="55"/>
        <v>0</v>
      </c>
      <c r="BS63" s="8">
        <f t="shared" si="55"/>
        <v>0</v>
      </c>
      <c r="BT63" s="8">
        <f t="shared" si="55"/>
        <v>0</v>
      </c>
      <c r="BU63" s="8">
        <f t="shared" si="55"/>
        <v>0</v>
      </c>
      <c r="BV63" s="8">
        <f t="shared" si="55"/>
        <v>0</v>
      </c>
      <c r="BW63" s="8">
        <f t="shared" si="55"/>
        <v>0</v>
      </c>
      <c r="BX63" s="88">
        <f t="shared" si="55"/>
        <v>0</v>
      </c>
      <c r="BY63" s="88">
        <f t="shared" si="55"/>
        <v>0</v>
      </c>
      <c r="BZ63" s="88">
        <f t="shared" si="55"/>
        <v>0</v>
      </c>
      <c r="CA63" s="8">
        <f t="shared" ref="CA63:CA65" si="56">SUM(B63:BZ63)</f>
        <v>10235.233274881441</v>
      </c>
      <c r="CB63" s="85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63" s="85" t="e">
        <f>CA63-CB63</f>
        <v>#REF!</v>
      </c>
    </row>
    <row r="64" spans="1:81">
      <c r="A64" s="78" t="s">
        <v>141</v>
      </c>
      <c r="B64" s="8">
        <v>0</v>
      </c>
      <c r="C64" s="8">
        <f t="shared" ref="C64:R65" si="57">C197</f>
        <v>304.89177643312098</v>
      </c>
      <c r="D64" s="8">
        <f t="shared" si="57"/>
        <v>182.56136178343951</v>
      </c>
      <c r="E64" s="8">
        <f t="shared" si="57"/>
        <v>25.00587770700637</v>
      </c>
      <c r="F64" s="8">
        <f t="shared" si="57"/>
        <v>33.148935668789811</v>
      </c>
      <c r="G64" s="8">
        <f t="shared" si="57"/>
        <v>0</v>
      </c>
      <c r="H64" s="8">
        <f t="shared" si="57"/>
        <v>35.640296178343945</v>
      </c>
      <c r="I64" s="8">
        <f t="shared" si="57"/>
        <v>71.165251592356697</v>
      </c>
      <c r="J64" s="8">
        <f t="shared" si="57"/>
        <v>172.61898789808919</v>
      </c>
      <c r="K64" s="8">
        <f t="shared" si="57"/>
        <v>35.986318471337583</v>
      </c>
      <c r="L64" s="8">
        <f t="shared" si="57"/>
        <v>8.7658980891719747</v>
      </c>
      <c r="M64" s="8">
        <f t="shared" si="57"/>
        <v>34.809842675159238</v>
      </c>
      <c r="N64" s="8">
        <f t="shared" si="57"/>
        <v>91.188408280254791</v>
      </c>
      <c r="O64" s="8">
        <f t="shared" si="57"/>
        <v>12.941233757961784</v>
      </c>
      <c r="P64" s="8">
        <f t="shared" si="57"/>
        <v>0.76124904458598741</v>
      </c>
      <c r="Q64" s="8">
        <f t="shared" si="57"/>
        <v>1.1072713375796179</v>
      </c>
      <c r="R64" s="8">
        <f t="shared" si="57"/>
        <v>1.1072713375796179</v>
      </c>
      <c r="S64" s="8">
        <f t="shared" si="54"/>
        <v>0.80738535031847136</v>
      </c>
      <c r="T64" s="8">
        <f t="shared" si="54"/>
        <v>0</v>
      </c>
      <c r="U64" s="8">
        <f t="shared" si="54"/>
        <v>31.903255414012744</v>
      </c>
      <c r="V64" s="8">
        <f t="shared" si="54"/>
        <v>0</v>
      </c>
      <c r="W64" s="8">
        <f t="shared" si="54"/>
        <v>0</v>
      </c>
      <c r="X64" s="8">
        <f t="shared" si="54"/>
        <v>66.805370700636942</v>
      </c>
      <c r="Y64" s="8">
        <f t="shared" si="54"/>
        <v>0</v>
      </c>
      <c r="Z64" s="8">
        <f t="shared" si="54"/>
        <v>18.385317834394904</v>
      </c>
      <c r="AA64" s="8">
        <f t="shared" si="54"/>
        <v>13.656346496815287</v>
      </c>
      <c r="AB64" s="8">
        <f t="shared" si="54"/>
        <v>111.81133694267517</v>
      </c>
      <c r="AC64" s="8">
        <f t="shared" si="54"/>
        <v>0</v>
      </c>
      <c r="AD64" s="8">
        <f t="shared" si="54"/>
        <v>0</v>
      </c>
      <c r="AE64" s="8">
        <v>0</v>
      </c>
      <c r="AF64" s="8">
        <f t="shared" si="54"/>
        <v>0</v>
      </c>
      <c r="AG64" s="8">
        <f t="shared" si="54"/>
        <v>107.93588726114649</v>
      </c>
      <c r="AH64" s="8">
        <f t="shared" si="54"/>
        <v>47.935621656050955</v>
      </c>
      <c r="AI64" s="8">
        <f t="shared" si="54"/>
        <v>0</v>
      </c>
      <c r="AJ64" s="88">
        <f t="shared" si="54"/>
        <v>0</v>
      </c>
      <c r="AK64" s="88">
        <f t="shared" si="54"/>
        <v>0</v>
      </c>
      <c r="AL64" s="88">
        <f t="shared" si="54"/>
        <v>0</v>
      </c>
      <c r="AM64" s="88">
        <f t="shared" si="54"/>
        <v>0</v>
      </c>
      <c r="AN64" s="88">
        <f t="shared" si="54"/>
        <v>0</v>
      </c>
      <c r="AO64" s="88">
        <f t="shared" si="54"/>
        <v>0</v>
      </c>
      <c r="AP64" s="88">
        <f t="shared" si="54"/>
        <v>0</v>
      </c>
      <c r="AQ64" s="8">
        <f t="shared" si="54"/>
        <v>3.4140866242038217</v>
      </c>
      <c r="AR64" s="8">
        <f t="shared" si="54"/>
        <v>0</v>
      </c>
      <c r="AS64" s="88">
        <f t="shared" si="54"/>
        <v>0</v>
      </c>
      <c r="AT64" s="8">
        <f t="shared" si="54"/>
        <v>0</v>
      </c>
      <c r="AU64" s="88">
        <f t="shared" si="54"/>
        <v>0</v>
      </c>
      <c r="AV64" s="88">
        <f t="shared" si="54"/>
        <v>0</v>
      </c>
      <c r="AW64" s="8">
        <f t="shared" si="54"/>
        <v>6.5052191082802544</v>
      </c>
      <c r="AX64" s="8">
        <f t="shared" si="54"/>
        <v>9.7578286624203834</v>
      </c>
      <c r="AY64" s="88">
        <f t="shared" si="54"/>
        <v>0</v>
      </c>
      <c r="AZ64" s="8">
        <f t="shared" si="54"/>
        <v>0</v>
      </c>
      <c r="BA64" s="8">
        <f t="shared" si="54"/>
        <v>0</v>
      </c>
      <c r="BB64" s="8">
        <f t="shared" si="54"/>
        <v>0</v>
      </c>
      <c r="BC64" s="88">
        <f t="shared" si="54"/>
        <v>0</v>
      </c>
      <c r="BD64" s="88">
        <f t="shared" si="54"/>
        <v>0</v>
      </c>
      <c r="BE64" s="88">
        <f t="shared" si="54"/>
        <v>0</v>
      </c>
      <c r="BF64" s="88">
        <f t="shared" si="54"/>
        <v>0</v>
      </c>
      <c r="BG64" s="8">
        <f>0</f>
        <v>0</v>
      </c>
      <c r="BH64" s="8">
        <f t="shared" si="54"/>
        <v>0</v>
      </c>
      <c r="BI64" s="8">
        <f t="shared" si="54"/>
        <v>0</v>
      </c>
      <c r="BJ64" s="8">
        <f t="shared" si="54"/>
        <v>0</v>
      </c>
      <c r="BK64" s="8">
        <f t="shared" si="54"/>
        <v>0</v>
      </c>
      <c r="BL64" s="8">
        <f t="shared" si="54"/>
        <v>0</v>
      </c>
      <c r="BM64" s="8">
        <f t="shared" si="54"/>
        <v>0</v>
      </c>
      <c r="BN64" s="8">
        <f t="shared" si="54"/>
        <v>0</v>
      </c>
      <c r="BO64" s="8">
        <f t="shared" si="54"/>
        <v>0</v>
      </c>
      <c r="BP64" s="8">
        <f t="shared" si="54"/>
        <v>0</v>
      </c>
      <c r="BQ64" s="8">
        <f t="shared" si="55"/>
        <v>0</v>
      </c>
      <c r="BR64" s="8">
        <f t="shared" si="55"/>
        <v>0</v>
      </c>
      <c r="BS64" s="8">
        <f t="shared" si="55"/>
        <v>0</v>
      </c>
      <c r="BT64" s="8">
        <f t="shared" si="55"/>
        <v>0</v>
      </c>
      <c r="BU64" s="8">
        <f t="shared" si="55"/>
        <v>0</v>
      </c>
      <c r="BV64" s="8">
        <f t="shared" si="55"/>
        <v>0</v>
      </c>
      <c r="BW64" s="8">
        <f t="shared" si="55"/>
        <v>0</v>
      </c>
      <c r="BX64" s="88">
        <f t="shared" si="55"/>
        <v>0</v>
      </c>
      <c r="BY64" s="88">
        <f t="shared" si="55"/>
        <v>0</v>
      </c>
      <c r="BZ64" s="88">
        <f t="shared" si="55"/>
        <v>0</v>
      </c>
      <c r="CA64" s="8">
        <f t="shared" si="56"/>
        <v>1430.6176363057325</v>
      </c>
      <c r="CB64" s="85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64" s="85" t="e">
        <f t="shared" ref="CC64:CC66" si="58">CA64-CB64</f>
        <v>#REF!</v>
      </c>
    </row>
    <row r="65" spans="1:81">
      <c r="A65" s="78" t="s">
        <v>142</v>
      </c>
      <c r="B65" s="8">
        <v>0</v>
      </c>
      <c r="C65" s="8">
        <f t="shared" si="57"/>
        <v>8178.5098334175555</v>
      </c>
      <c r="D65" s="8">
        <f t="shared" si="57"/>
        <v>4423.032965919102</v>
      </c>
      <c r="E65" s="8">
        <f t="shared" si="57"/>
        <v>268.22912277030309</v>
      </c>
      <c r="F65" s="8">
        <f t="shared" si="57"/>
        <v>495.45792474253665</v>
      </c>
      <c r="G65" s="8">
        <f t="shared" si="57"/>
        <v>0</v>
      </c>
      <c r="H65" s="8">
        <f t="shared" si="57"/>
        <v>14039.738953720584</v>
      </c>
      <c r="I65" s="8">
        <f t="shared" si="57"/>
        <v>1891.5995925310688</v>
      </c>
      <c r="J65" s="8">
        <f t="shared" si="57"/>
        <v>3548.0529250802115</v>
      </c>
      <c r="K65" s="8">
        <f t="shared" si="57"/>
        <v>915.3747770299866</v>
      </c>
      <c r="L65" s="8">
        <f t="shared" si="57"/>
        <v>13.322861353420858</v>
      </c>
      <c r="M65" s="8">
        <f t="shared" si="57"/>
        <v>464.32639013218619</v>
      </c>
      <c r="N65" s="8">
        <f t="shared" si="57"/>
        <v>959.33573368437203</v>
      </c>
      <c r="O65" s="8">
        <f t="shared" si="57"/>
        <v>19.087129649429546</v>
      </c>
      <c r="P65" s="8">
        <f t="shared" si="57"/>
        <v>1.3681726305701554</v>
      </c>
      <c r="Q65" s="8">
        <f t="shared" si="57"/>
        <v>1.8840409994736564</v>
      </c>
      <c r="R65" s="8">
        <f t="shared" si="57"/>
        <v>1.8840409994736564</v>
      </c>
      <c r="S65" s="8">
        <f t="shared" si="54"/>
        <v>1.7046085233333084</v>
      </c>
      <c r="T65" s="8">
        <f t="shared" si="54"/>
        <v>0</v>
      </c>
      <c r="U65" s="8">
        <f t="shared" si="54"/>
        <v>384.97237755911715</v>
      </c>
      <c r="V65" s="8">
        <f t="shared" si="54"/>
        <v>0</v>
      </c>
      <c r="W65" s="8">
        <f t="shared" si="54"/>
        <v>0</v>
      </c>
      <c r="X65" s="8">
        <f t="shared" si="54"/>
        <v>922.48478889704791</v>
      </c>
      <c r="Y65" s="8">
        <f t="shared" si="54"/>
        <v>0</v>
      </c>
      <c r="Z65" s="8">
        <f t="shared" si="54"/>
        <v>28.888628658596069</v>
      </c>
      <c r="AA65" s="8">
        <f t="shared" si="54"/>
        <v>133.54262036745419</v>
      </c>
      <c r="AB65" s="8">
        <f t="shared" si="54"/>
        <v>1679.3309732570369</v>
      </c>
      <c r="AC65" s="8">
        <f t="shared" si="54"/>
        <v>0</v>
      </c>
      <c r="AD65" s="8">
        <f t="shared" si="54"/>
        <v>0</v>
      </c>
      <c r="AE65" s="8">
        <v>0</v>
      </c>
      <c r="AF65" s="8">
        <f t="shared" si="54"/>
        <v>0</v>
      </c>
      <c r="AG65" s="8">
        <f t="shared" si="54"/>
        <v>1844.0275572943588</v>
      </c>
      <c r="AH65" s="8">
        <f t="shared" si="54"/>
        <v>1550.7900331619949</v>
      </c>
      <c r="AI65" s="8">
        <f t="shared" si="54"/>
        <v>0</v>
      </c>
      <c r="AJ65" s="88">
        <f t="shared" si="54"/>
        <v>0</v>
      </c>
      <c r="AK65" s="88">
        <f t="shared" si="54"/>
        <v>0</v>
      </c>
      <c r="AL65" s="88">
        <f t="shared" si="54"/>
        <v>0</v>
      </c>
      <c r="AM65" s="88">
        <f t="shared" si="54"/>
        <v>0</v>
      </c>
      <c r="AN65" s="88">
        <f t="shared" si="54"/>
        <v>0</v>
      </c>
      <c r="AO65" s="88">
        <f t="shared" si="54"/>
        <v>0</v>
      </c>
      <c r="AP65" s="88">
        <f t="shared" si="54"/>
        <v>0</v>
      </c>
      <c r="AQ65" s="8">
        <f t="shared" si="54"/>
        <v>5.2035418080700984</v>
      </c>
      <c r="AR65" s="8">
        <f t="shared" si="54"/>
        <v>0</v>
      </c>
      <c r="AS65" s="88">
        <f t="shared" si="54"/>
        <v>0</v>
      </c>
      <c r="AT65" s="8">
        <f t="shared" si="54"/>
        <v>0</v>
      </c>
      <c r="AU65" s="88">
        <f t="shared" si="54"/>
        <v>0</v>
      </c>
      <c r="AV65" s="88">
        <f t="shared" si="54"/>
        <v>0</v>
      </c>
      <c r="AW65" s="8">
        <f t="shared" si="54"/>
        <v>9.9136443067542412</v>
      </c>
      <c r="AX65" s="8">
        <f t="shared" si="54"/>
        <v>37.411671275262606</v>
      </c>
      <c r="AY65" s="88">
        <f t="shared" si="54"/>
        <v>0</v>
      </c>
      <c r="AZ65" s="8">
        <f t="shared" si="54"/>
        <v>0</v>
      </c>
      <c r="BA65" s="8">
        <f t="shared" si="54"/>
        <v>0</v>
      </c>
      <c r="BB65" s="8">
        <f t="shared" si="54"/>
        <v>0</v>
      </c>
      <c r="BC65" s="88">
        <f t="shared" si="54"/>
        <v>0</v>
      </c>
      <c r="BD65" s="88">
        <f t="shared" si="54"/>
        <v>0</v>
      </c>
      <c r="BE65" s="88">
        <f t="shared" si="54"/>
        <v>0</v>
      </c>
      <c r="BF65" s="88">
        <f t="shared" si="54"/>
        <v>0</v>
      </c>
      <c r="BG65" s="8">
        <f>0</f>
        <v>0</v>
      </c>
      <c r="BH65" s="8">
        <f t="shared" si="54"/>
        <v>0</v>
      </c>
      <c r="BI65" s="8">
        <f t="shared" si="54"/>
        <v>0</v>
      </c>
      <c r="BJ65" s="8">
        <f t="shared" si="54"/>
        <v>0</v>
      </c>
      <c r="BK65" s="8">
        <f t="shared" si="54"/>
        <v>0</v>
      </c>
      <c r="BL65" s="8">
        <f t="shared" si="54"/>
        <v>0</v>
      </c>
      <c r="BM65" s="8">
        <f t="shared" si="54"/>
        <v>0</v>
      </c>
      <c r="BN65" s="8">
        <f t="shared" si="54"/>
        <v>0</v>
      </c>
      <c r="BO65" s="8">
        <f t="shared" si="54"/>
        <v>0</v>
      </c>
      <c r="BP65" s="8">
        <f t="shared" si="54"/>
        <v>0</v>
      </c>
      <c r="BQ65" s="8">
        <f t="shared" si="55"/>
        <v>0</v>
      </c>
      <c r="BR65" s="8">
        <f t="shared" si="55"/>
        <v>0</v>
      </c>
      <c r="BS65" s="8">
        <f t="shared" si="55"/>
        <v>0</v>
      </c>
      <c r="BT65" s="8">
        <f t="shared" si="55"/>
        <v>0</v>
      </c>
      <c r="BU65" s="8">
        <f t="shared" si="55"/>
        <v>0</v>
      </c>
      <c r="BV65" s="8">
        <f t="shared" si="55"/>
        <v>0</v>
      </c>
      <c r="BW65" s="8">
        <f t="shared" si="55"/>
        <v>0</v>
      </c>
      <c r="BX65" s="88">
        <f t="shared" si="55"/>
        <v>0</v>
      </c>
      <c r="BY65" s="88">
        <f t="shared" si="55"/>
        <v>0</v>
      </c>
      <c r="BZ65" s="88">
        <f t="shared" si="55"/>
        <v>0</v>
      </c>
      <c r="CA65" s="8">
        <f t="shared" si="56"/>
        <v>41819.474909769298</v>
      </c>
      <c r="CB65" s="85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65" s="85" t="e">
        <f t="shared" si="58"/>
        <v>#REF!</v>
      </c>
    </row>
    <row r="66" spans="1:81">
      <c r="A66" s="9" t="s">
        <v>143</v>
      </c>
      <c r="B66" s="10">
        <f t="shared" ref="B66:BN66" si="59">SUM(B63:B65)</f>
        <v>0</v>
      </c>
      <c r="C66" s="10">
        <f t="shared" si="59"/>
        <v>11642.49539964169</v>
      </c>
      <c r="D66" s="10">
        <f t="shared" si="59"/>
        <v>5942.2579698926102</v>
      </c>
      <c r="E66" s="10">
        <f t="shared" si="59"/>
        <v>766.92656985984217</v>
      </c>
      <c r="F66" s="10">
        <f t="shared" si="59"/>
        <v>528.60686041132647</v>
      </c>
      <c r="G66" s="10">
        <f t="shared" si="59"/>
        <v>198.91868299322076</v>
      </c>
      <c r="H66" s="10">
        <f t="shared" si="59"/>
        <v>14359.707677769315</v>
      </c>
      <c r="I66" s="10">
        <f t="shared" si="59"/>
        <v>3575.6539965859156</v>
      </c>
      <c r="J66" s="10">
        <f t="shared" si="59"/>
        <v>4281.4755208510187</v>
      </c>
      <c r="K66" s="10">
        <f t="shared" si="59"/>
        <v>1719.0955149725351</v>
      </c>
      <c r="L66" s="10">
        <f t="shared" si="59"/>
        <v>22.088759442592831</v>
      </c>
      <c r="M66" s="10">
        <f t="shared" si="59"/>
        <v>499.13623280734544</v>
      </c>
      <c r="N66" s="10">
        <f t="shared" si="59"/>
        <v>1135.9338868417935</v>
      </c>
      <c r="O66" s="10">
        <f t="shared" si="59"/>
        <v>32.028363407391332</v>
      </c>
      <c r="P66" s="10">
        <f t="shared" si="59"/>
        <v>2.1294216751561428</v>
      </c>
      <c r="Q66" s="10">
        <f t="shared" si="59"/>
        <v>2.9913123370532744</v>
      </c>
      <c r="R66" s="10">
        <f t="shared" si="59"/>
        <v>2.9913123370532744</v>
      </c>
      <c r="S66" s="10">
        <f t="shared" si="59"/>
        <v>2.5119938736517797</v>
      </c>
      <c r="T66" s="10">
        <f t="shared" si="59"/>
        <v>0</v>
      </c>
      <c r="U66" s="10">
        <f t="shared" si="59"/>
        <v>493.91009327424712</v>
      </c>
      <c r="V66" s="10">
        <f t="shared" si="59"/>
        <v>0</v>
      </c>
      <c r="W66" s="10">
        <f t="shared" si="59"/>
        <v>0</v>
      </c>
      <c r="X66" s="10">
        <f t="shared" si="59"/>
        <v>989.29015959768481</v>
      </c>
      <c r="Y66" s="10">
        <f t="shared" si="59"/>
        <v>0</v>
      </c>
      <c r="Z66" s="10">
        <f t="shared" si="59"/>
        <v>47.273946492990973</v>
      </c>
      <c r="AA66" s="10">
        <f t="shared" si="59"/>
        <v>242.1642532225118</v>
      </c>
      <c r="AB66" s="10">
        <f t="shared" si="59"/>
        <v>2351.9459180724298</v>
      </c>
      <c r="AC66" s="10">
        <f t="shared" si="59"/>
        <v>0</v>
      </c>
      <c r="AD66" s="10">
        <f t="shared" si="59"/>
        <v>0</v>
      </c>
      <c r="AE66" s="10">
        <f t="shared" ref="AE66" si="60">SUM(AE63:AE65)</f>
        <v>0</v>
      </c>
      <c r="AF66" s="10">
        <f t="shared" si="59"/>
        <v>0</v>
      </c>
      <c r="AG66" s="10">
        <f t="shared" si="59"/>
        <v>2974.8603279940585</v>
      </c>
      <c r="AH66" s="10">
        <f t="shared" si="59"/>
        <v>1598.7256548180458</v>
      </c>
      <c r="AI66" s="10">
        <f t="shared" si="59"/>
        <v>0</v>
      </c>
      <c r="AJ66" s="89">
        <f t="shared" si="59"/>
        <v>0</v>
      </c>
      <c r="AK66" s="89">
        <f t="shared" si="59"/>
        <v>0</v>
      </c>
      <c r="AL66" s="89">
        <f t="shared" si="59"/>
        <v>0</v>
      </c>
      <c r="AM66" s="89">
        <f t="shared" si="59"/>
        <v>0</v>
      </c>
      <c r="AN66" s="89">
        <f t="shared" si="59"/>
        <v>0</v>
      </c>
      <c r="AO66" s="89">
        <f t="shared" si="59"/>
        <v>0</v>
      </c>
      <c r="AP66" s="89">
        <f t="shared" si="59"/>
        <v>0</v>
      </c>
      <c r="AQ66" s="10">
        <f t="shared" si="59"/>
        <v>8.6176284322739196</v>
      </c>
      <c r="AR66" s="10">
        <f t="shared" si="59"/>
        <v>0</v>
      </c>
      <c r="AS66" s="89">
        <f t="shared" si="59"/>
        <v>0</v>
      </c>
      <c r="AT66" s="10">
        <f t="shared" si="59"/>
        <v>0</v>
      </c>
      <c r="AU66" s="89">
        <f t="shared" si="59"/>
        <v>0</v>
      </c>
      <c r="AV66" s="89">
        <f t="shared" si="59"/>
        <v>0</v>
      </c>
      <c r="AW66" s="10">
        <f t="shared" si="59"/>
        <v>16.418863415034494</v>
      </c>
      <c r="AX66" s="10">
        <f t="shared" si="59"/>
        <v>47.169499937682986</v>
      </c>
      <c r="AY66" s="89">
        <f t="shared" si="59"/>
        <v>0</v>
      </c>
      <c r="AZ66" s="10">
        <f t="shared" si="59"/>
        <v>0</v>
      </c>
      <c r="BA66" s="10">
        <f t="shared" si="59"/>
        <v>0</v>
      </c>
      <c r="BB66" s="10">
        <f t="shared" si="59"/>
        <v>0</v>
      </c>
      <c r="BC66" s="10">
        <f>SUM(BC63:BC65)</f>
        <v>0</v>
      </c>
      <c r="BD66" s="10">
        <f>SUM(BD63:BD65)</f>
        <v>0</v>
      </c>
      <c r="BE66" s="10">
        <f>SUM(BE63:BE65)</f>
        <v>0</v>
      </c>
      <c r="BF66" s="10">
        <f>SUM(BF63:BF65)</f>
        <v>0</v>
      </c>
      <c r="BG66" s="10">
        <f>SUM(BG63:BG65)</f>
        <v>0</v>
      </c>
      <c r="BH66" s="10">
        <f t="shared" si="59"/>
        <v>0</v>
      </c>
      <c r="BI66" s="10">
        <f t="shared" si="59"/>
        <v>0</v>
      </c>
      <c r="BJ66" s="10">
        <f t="shared" si="59"/>
        <v>0</v>
      </c>
      <c r="BK66" s="10">
        <f t="shared" si="59"/>
        <v>0</v>
      </c>
      <c r="BL66" s="10">
        <f t="shared" si="59"/>
        <v>0</v>
      </c>
      <c r="BM66" s="10">
        <f t="shared" si="59"/>
        <v>0</v>
      </c>
      <c r="BN66" s="10">
        <f t="shared" si="59"/>
        <v>0</v>
      </c>
      <c r="BO66" s="10">
        <f t="shared" ref="BO66:CB66" si="61">SUM(BO63:BO65)</f>
        <v>0</v>
      </c>
      <c r="BP66" s="10">
        <f t="shared" si="61"/>
        <v>0</v>
      </c>
      <c r="BQ66" s="10">
        <f t="shared" si="61"/>
        <v>0</v>
      </c>
      <c r="BR66" s="10">
        <f t="shared" si="61"/>
        <v>0</v>
      </c>
      <c r="BS66" s="10">
        <f t="shared" si="61"/>
        <v>0</v>
      </c>
      <c r="BT66" s="10">
        <f t="shared" si="61"/>
        <v>0</v>
      </c>
      <c r="BU66" s="10">
        <f t="shared" si="61"/>
        <v>0</v>
      </c>
      <c r="BV66" s="10">
        <f t="shared" si="61"/>
        <v>0</v>
      </c>
      <c r="BW66" s="10">
        <f t="shared" si="61"/>
        <v>0</v>
      </c>
      <c r="BX66" s="89">
        <f t="shared" si="61"/>
        <v>0</v>
      </c>
      <c r="BY66" s="89">
        <f t="shared" si="61"/>
        <v>0</v>
      </c>
      <c r="BZ66" s="89">
        <f t="shared" si="61"/>
        <v>0</v>
      </c>
      <c r="CA66" s="10">
        <f t="shared" si="61"/>
        <v>53485.325820956474</v>
      </c>
      <c r="CB66" s="10" t="e">
        <f t="shared" si="61"/>
        <v>#REF!</v>
      </c>
      <c r="CC66" s="114" t="e">
        <f t="shared" si="58"/>
        <v>#REF!</v>
      </c>
    </row>
    <row r="67" spans="1:81">
      <c r="A67" s="6" t="s">
        <v>144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87"/>
      <c r="AK67" s="87"/>
      <c r="AL67" s="87"/>
      <c r="AM67" s="87"/>
      <c r="AN67" s="87"/>
      <c r="AO67" s="87"/>
      <c r="AP67" s="87"/>
      <c r="AQ67" s="4"/>
      <c r="AR67" s="4"/>
      <c r="AS67" s="87"/>
      <c r="AT67" s="4"/>
      <c r="AU67" s="87"/>
      <c r="AV67" s="87"/>
      <c r="AW67" s="4"/>
      <c r="AX67" s="4"/>
      <c r="AY67" s="87"/>
      <c r="AZ67" s="4"/>
      <c r="BA67" s="4"/>
      <c r="BB67" s="4"/>
      <c r="BC67" s="87"/>
      <c r="BD67" s="87"/>
      <c r="BE67" s="87"/>
      <c r="BF67" s="87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87"/>
      <c r="BY67" s="87"/>
      <c r="BZ67" s="87"/>
      <c r="CA67" s="4"/>
      <c r="CC67" s="85"/>
    </row>
    <row r="68" spans="1:81">
      <c r="A68" s="78" t="s">
        <v>145</v>
      </c>
      <c r="B68" s="8">
        <v>0</v>
      </c>
      <c r="C68" s="8">
        <f>('June 2024 YTD'!C68*2)*1.03</f>
        <v>0</v>
      </c>
      <c r="D68" s="8">
        <f>('June 2024 YTD'!D68*2)*1.03</f>
        <v>0</v>
      </c>
      <c r="E68" s="8">
        <f>('June 2024 YTD'!E68*2)*1.03</f>
        <v>0</v>
      </c>
      <c r="F68" s="8">
        <f>('June 2024 YTD'!F68*2)*1.03</f>
        <v>0</v>
      </c>
      <c r="G68" s="8">
        <f>('June 2024 YTD'!G68*2)*1.03</f>
        <v>0</v>
      </c>
      <c r="H68" s="8">
        <f>('June 2024 YTD'!H68*2)*1.03</f>
        <v>0</v>
      </c>
      <c r="I68" s="8">
        <f>('June 2024 YTD'!I68*2)*1.03</f>
        <v>0</v>
      </c>
      <c r="J68" s="8">
        <f>('June 2024 YTD'!J68*2)*1.03</f>
        <v>0</v>
      </c>
      <c r="K68" s="8">
        <f>('June 2024 YTD'!K68*2)*1.03</f>
        <v>0</v>
      </c>
      <c r="L68" s="8">
        <f>('June 2024 YTD'!L68*2)*1.03</f>
        <v>0</v>
      </c>
      <c r="M68" s="8">
        <f>('June 2024 YTD'!M68*2)*1.03</f>
        <v>0</v>
      </c>
      <c r="N68" s="8">
        <f>('June 2024 YTD'!N68*2)*1.03</f>
        <v>372.53040000000004</v>
      </c>
      <c r="O68" s="8">
        <f>('June 2024 YTD'!O68*2)*1.03</f>
        <v>0</v>
      </c>
      <c r="P68" s="8">
        <f>('June 2024 YTD'!P68*2)*1.03</f>
        <v>0</v>
      </c>
      <c r="Q68" s="8">
        <f>('June 2024 YTD'!Q68*2)*1.03</f>
        <v>0</v>
      </c>
      <c r="R68" s="8">
        <f>('June 2024 YTD'!R68*2)*1.03</f>
        <v>0</v>
      </c>
      <c r="S68" s="8">
        <f>('June 2024 YTD'!S68*2)*1.03</f>
        <v>0</v>
      </c>
      <c r="T68" s="8">
        <f>('June 2024 YTD'!T68*2)*1.03</f>
        <v>0</v>
      </c>
      <c r="U68" s="8">
        <f>('June 2024 YTD'!U68*2)*1.03</f>
        <v>0</v>
      </c>
      <c r="V68" s="8">
        <f>('June 2024 YTD'!V68*2)*1.03</f>
        <v>0</v>
      </c>
      <c r="W68" s="8">
        <f>('June 2024 YTD'!W68*2)*1.03</f>
        <v>0</v>
      </c>
      <c r="X68" s="8">
        <f>('June 2024 YTD'!X68*2)*1.03</f>
        <v>0</v>
      </c>
      <c r="Y68" s="8">
        <f>('June 2024 YTD'!Y68*2)*1.03</f>
        <v>0</v>
      </c>
      <c r="Z68" s="8">
        <f>('June 2024 YTD'!Z68*2)*1.03</f>
        <v>0</v>
      </c>
      <c r="AA68" s="8">
        <f>('June 2024 YTD'!AA68*2)*1.03</f>
        <v>0</v>
      </c>
      <c r="AB68" s="8">
        <f>('June 2024 YTD'!AB68*2)*1.03</f>
        <v>0</v>
      </c>
      <c r="AC68" s="8">
        <f>('June 2024 YTD'!AC68*2)*1.03</f>
        <v>0</v>
      </c>
      <c r="AD68" s="8">
        <f>('June 2024 YTD'!AD68*2)*1.03</f>
        <v>0</v>
      </c>
      <c r="AE68" s="8">
        <v>0</v>
      </c>
      <c r="AF68" s="8">
        <f>('June 2024 YTD'!AE68*2)*1.03</f>
        <v>0</v>
      </c>
      <c r="AG68" s="8">
        <f>('June 2024 YTD'!AF68*2)*1.03</f>
        <v>0</v>
      </c>
      <c r="AH68" s="8">
        <f>('June 2024 YTD'!AG68*2)*1.03</f>
        <v>0</v>
      </c>
      <c r="AI68" s="8">
        <f>('June 2024 YTD'!AH68*2)*1.03</f>
        <v>0</v>
      </c>
      <c r="AJ68" s="88">
        <v>0</v>
      </c>
      <c r="AK68" s="88">
        <v>0</v>
      </c>
      <c r="AL68" s="88">
        <v>0</v>
      </c>
      <c r="AM68" s="88">
        <v>0</v>
      </c>
      <c r="AN68" s="88">
        <v>0</v>
      </c>
      <c r="AO68" s="88">
        <v>0</v>
      </c>
      <c r="AP68" s="88">
        <v>0</v>
      </c>
      <c r="AQ68" s="8">
        <f>('June 2024 YTD'!AP68*2)*1.03</f>
        <v>0</v>
      </c>
      <c r="AR68" s="8">
        <f>('June 2024 YTD'!AQ68*2)*1.03</f>
        <v>0</v>
      </c>
      <c r="AS68" s="88">
        <v>0</v>
      </c>
      <c r="AT68" s="8">
        <f>('June 2024 YTD'!AS68*2)*1.03</f>
        <v>0</v>
      </c>
      <c r="AU68" s="88">
        <v>0</v>
      </c>
      <c r="AV68" s="88">
        <v>0</v>
      </c>
      <c r="AW68" s="8">
        <f>('June 2024 YTD'!AV68*2)*1.03</f>
        <v>0</v>
      </c>
      <c r="AX68" s="8">
        <f>('June 2024 YTD'!AW68*2)*1.03</f>
        <v>0</v>
      </c>
      <c r="AY68" s="88">
        <v>0</v>
      </c>
      <c r="AZ68" s="8">
        <f>('June 2024 YTD'!AY68*2)*1.03</f>
        <v>0</v>
      </c>
      <c r="BA68" s="8">
        <f>('June 2024 YTD'!AZ68*2)*1.03</f>
        <v>0</v>
      </c>
      <c r="BB68" s="8">
        <f>('June 2024 YTD'!BA68*2)*1.03</f>
        <v>0</v>
      </c>
      <c r="BC68" s="88">
        <v>0</v>
      </c>
      <c r="BD68" s="88">
        <v>0</v>
      </c>
      <c r="BE68" s="88">
        <v>0</v>
      </c>
      <c r="BF68" s="88">
        <v>0</v>
      </c>
      <c r="BG68" s="8">
        <f>('June 2024 YTD'!BF68*2)*1.03</f>
        <v>0</v>
      </c>
      <c r="BH68" s="8">
        <f>('June 2024 YTD'!BG68*2)*1.03</f>
        <v>0</v>
      </c>
      <c r="BI68" s="8">
        <f>('June 2024 YTD'!BH68*2)*1.03</f>
        <v>0</v>
      </c>
      <c r="BJ68" s="8">
        <f>('June 2024 YTD'!BI68*2)*1.03</f>
        <v>0</v>
      </c>
      <c r="BK68" s="8">
        <f>('June 2024 YTD'!BJ68*2)*1.03</f>
        <v>0</v>
      </c>
      <c r="BL68" s="8">
        <f>('June 2024 YTD'!BK68*2)*1.03</f>
        <v>0</v>
      </c>
      <c r="BM68" s="8">
        <f>('June 2024 YTD'!BL68*2)*1.03</f>
        <v>0</v>
      </c>
      <c r="BN68" s="8">
        <f>('June 2024 YTD'!BM68*2)*1.03</f>
        <v>0</v>
      </c>
      <c r="BO68" s="8">
        <f>('June 2024 YTD'!BN68*2)*1.03</f>
        <v>0</v>
      </c>
      <c r="BP68" s="8">
        <f>('June 2024 YTD'!BO68*2)*1.03</f>
        <v>0</v>
      </c>
      <c r="BQ68" s="8">
        <f>('June 2024 YTD'!BP68*2)*1.03</f>
        <v>0</v>
      </c>
      <c r="BR68" s="8">
        <f>('June 2024 YTD'!BQ68*2)*1.03</f>
        <v>0</v>
      </c>
      <c r="BS68" s="8">
        <f>('June 2024 YTD'!BR68*2)*1.03</f>
        <v>0</v>
      </c>
      <c r="BT68" s="8">
        <f>('June 2024 YTD'!BS68*2)*1.03</f>
        <v>0</v>
      </c>
      <c r="BU68" s="8">
        <f>('June 2024 YTD'!BT68*2)*1.03</f>
        <v>0</v>
      </c>
      <c r="BV68" s="8">
        <f>('June 2024 YTD'!BU68*2)*1.03</f>
        <v>0</v>
      </c>
      <c r="BW68" s="8">
        <f>('June 2024 YTD'!BV68*2)*1.03</f>
        <v>0</v>
      </c>
      <c r="BX68" s="88">
        <v>0</v>
      </c>
      <c r="BY68" s="88">
        <v>0</v>
      </c>
      <c r="BZ68" s="88">
        <v>0</v>
      </c>
      <c r="CA68" s="8">
        <f t="shared" ref="CA68:CA69" si="62">SUM(B68:BZ68)</f>
        <v>372.53040000000004</v>
      </c>
      <c r="CB68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68" s="85" t="e">
        <f>CA68-CB68</f>
        <v>#REF!</v>
      </c>
    </row>
    <row r="69" spans="1:81">
      <c r="A69" s="78" t="s">
        <v>146</v>
      </c>
      <c r="B69" s="8">
        <v>0</v>
      </c>
      <c r="C69" s="8">
        <f>('June 2024 YTD'!C69*2)*1.03</f>
        <v>2.2248000000000001</v>
      </c>
      <c r="D69" s="8">
        <f>('June 2024 YTD'!D69*2)*1.03</f>
        <v>0</v>
      </c>
      <c r="E69" s="8">
        <f>('June 2024 YTD'!E69*2)*1.03</f>
        <v>0</v>
      </c>
      <c r="F69" s="8">
        <f>('June 2024 YTD'!F69*2)*1.03</f>
        <v>0</v>
      </c>
      <c r="G69" s="8">
        <f>('June 2024 YTD'!G69*2)*1.03</f>
        <v>0</v>
      </c>
      <c r="H69" s="8">
        <f>('June 2024 YTD'!H69*2)*1.03</f>
        <v>335.4504</v>
      </c>
      <c r="I69" s="8">
        <f>('June 2024 YTD'!I69*2)*1.03</f>
        <v>0</v>
      </c>
      <c r="J69" s="8">
        <f>('June 2024 YTD'!J69*2)*1.03</f>
        <v>0</v>
      </c>
      <c r="K69" s="8">
        <f>('June 2024 YTD'!K69*2)*1.03</f>
        <v>0</v>
      </c>
      <c r="L69" s="8">
        <f>('June 2024 YTD'!L69*2)*1.03</f>
        <v>0</v>
      </c>
      <c r="M69" s="8">
        <f>('June 2024 YTD'!M69*2)*1.03</f>
        <v>0</v>
      </c>
      <c r="N69" s="8">
        <f>('June 2024 YTD'!N69*2)*1.03</f>
        <v>0</v>
      </c>
      <c r="O69" s="8">
        <f>('June 2024 YTD'!O69*2)*1.03</f>
        <v>0</v>
      </c>
      <c r="P69" s="8">
        <f>('June 2024 YTD'!P69*2)*1.03</f>
        <v>0</v>
      </c>
      <c r="Q69" s="8">
        <f>('June 2024 YTD'!Q69*2)*1.03</f>
        <v>0</v>
      </c>
      <c r="R69" s="8">
        <f>('June 2024 YTD'!R69*2)*1.03</f>
        <v>0</v>
      </c>
      <c r="S69" s="8">
        <f>('June 2024 YTD'!S69*2)*1.03</f>
        <v>0</v>
      </c>
      <c r="T69" s="8">
        <f>('June 2024 YTD'!T69*2)*1.03</f>
        <v>0</v>
      </c>
      <c r="U69" s="8">
        <f>('June 2024 YTD'!U69*2)*1.03</f>
        <v>0</v>
      </c>
      <c r="V69" s="8">
        <f>('June 2024 YTD'!V69*2)*1.03</f>
        <v>0</v>
      </c>
      <c r="W69" s="8">
        <f>('June 2024 YTD'!W69*2)*1.03</f>
        <v>0</v>
      </c>
      <c r="X69" s="8">
        <f>('June 2024 YTD'!X69*2)*1.03</f>
        <v>0</v>
      </c>
      <c r="Y69" s="8">
        <f>('June 2024 YTD'!Y69*2)*1.03</f>
        <v>0</v>
      </c>
      <c r="Z69" s="8">
        <f>('June 2024 YTD'!Z69*2)*1.03</f>
        <v>0</v>
      </c>
      <c r="AA69" s="8">
        <f>('June 2024 YTD'!AA69*2)*1.03</f>
        <v>0</v>
      </c>
      <c r="AB69" s="8">
        <f>('June 2024 YTD'!AB69*2)*1.03</f>
        <v>0</v>
      </c>
      <c r="AC69" s="8">
        <f>('June 2024 YTD'!AC69*2)*1.03</f>
        <v>0</v>
      </c>
      <c r="AD69" s="8">
        <f>('June 2024 YTD'!AD69*2)*1.03</f>
        <v>0</v>
      </c>
      <c r="AE69" s="8">
        <v>0</v>
      </c>
      <c r="AF69" s="8">
        <f>('June 2024 YTD'!AE69*2)*1.03</f>
        <v>0</v>
      </c>
      <c r="AG69" s="8">
        <f>('June 2024 YTD'!AF69*2)*1.03</f>
        <v>0</v>
      </c>
      <c r="AH69" s="8">
        <f>('June 2024 YTD'!AG69*2)*1.03</f>
        <v>0</v>
      </c>
      <c r="AI69" s="8">
        <f>('June 2024 YTD'!AH69*2)*1.03</f>
        <v>0</v>
      </c>
      <c r="AJ69" s="88">
        <v>0</v>
      </c>
      <c r="AK69" s="88">
        <v>0</v>
      </c>
      <c r="AL69" s="88">
        <v>0</v>
      </c>
      <c r="AM69" s="88">
        <v>0</v>
      </c>
      <c r="AN69" s="88">
        <v>0</v>
      </c>
      <c r="AO69" s="88">
        <v>0</v>
      </c>
      <c r="AP69" s="88">
        <v>0</v>
      </c>
      <c r="AQ69" s="8">
        <f>('June 2024 YTD'!AP69*2)*1.03</f>
        <v>0</v>
      </c>
      <c r="AR69" s="8">
        <f>('June 2024 YTD'!AQ69*2)*1.03</f>
        <v>0</v>
      </c>
      <c r="AS69" s="88">
        <v>0</v>
      </c>
      <c r="AT69" s="8">
        <f>('June 2024 YTD'!AS69*2)*1.03</f>
        <v>0</v>
      </c>
      <c r="AU69" s="88">
        <v>0</v>
      </c>
      <c r="AV69" s="88">
        <v>0</v>
      </c>
      <c r="AW69" s="8">
        <f>('June 2024 YTD'!AV69*2)*1.03</f>
        <v>0</v>
      </c>
      <c r="AX69" s="8">
        <f>('June 2024 YTD'!AW69*2)*1.03</f>
        <v>0</v>
      </c>
      <c r="AY69" s="88">
        <v>0</v>
      </c>
      <c r="AZ69" s="8">
        <f>('June 2024 YTD'!AY69*2)*1.03</f>
        <v>0</v>
      </c>
      <c r="BA69" s="8">
        <f>('June 2024 YTD'!AZ69*2)*1.03</f>
        <v>0</v>
      </c>
      <c r="BB69" s="8">
        <f>('June 2024 YTD'!BA69*2)*1.03</f>
        <v>0</v>
      </c>
      <c r="BC69" s="88">
        <v>0</v>
      </c>
      <c r="BD69" s="88">
        <v>0</v>
      </c>
      <c r="BE69" s="88">
        <v>0</v>
      </c>
      <c r="BF69" s="88">
        <v>0</v>
      </c>
      <c r="BG69" s="8">
        <f>('June 2024 YTD'!BF69*2)*1.03</f>
        <v>0</v>
      </c>
      <c r="BH69" s="8">
        <f>('June 2024 YTD'!BG69*2)*1.03</f>
        <v>0</v>
      </c>
      <c r="BI69" s="8">
        <f>('June 2024 YTD'!BH69*2)*1.03</f>
        <v>0</v>
      </c>
      <c r="BJ69" s="8">
        <f>('June 2024 YTD'!BI69*2)*1.03</f>
        <v>0</v>
      </c>
      <c r="BK69" s="8">
        <f>('June 2024 YTD'!BJ69*2)*1.03</f>
        <v>0</v>
      </c>
      <c r="BL69" s="8">
        <f>('June 2024 YTD'!BK69*2)*1.03</f>
        <v>0</v>
      </c>
      <c r="BM69" s="8">
        <f>('June 2024 YTD'!BL69*2)*1.03</f>
        <v>0</v>
      </c>
      <c r="BN69" s="8">
        <f>('June 2024 YTD'!BM69*2)*1.03</f>
        <v>0</v>
      </c>
      <c r="BO69" s="8">
        <f>('June 2024 YTD'!BN69*2)*1.03</f>
        <v>0</v>
      </c>
      <c r="BP69" s="8">
        <f>('June 2024 YTD'!BO69*2)*1.03</f>
        <v>0</v>
      </c>
      <c r="BQ69" s="8">
        <f>('June 2024 YTD'!BP69*2)*1.03</f>
        <v>0</v>
      </c>
      <c r="BR69" s="8">
        <f>('June 2024 YTD'!BQ69*2)*1.03</f>
        <v>0</v>
      </c>
      <c r="BS69" s="8">
        <f>('June 2024 YTD'!BR69*2)*1.03</f>
        <v>0</v>
      </c>
      <c r="BT69" s="8">
        <f>('June 2024 YTD'!BS69*2)*1.03</f>
        <v>0</v>
      </c>
      <c r="BU69" s="8">
        <f>('June 2024 YTD'!BT69*2)*1.03</f>
        <v>0</v>
      </c>
      <c r="BV69" s="8">
        <f>('June 2024 YTD'!BU69*2)*1.03</f>
        <v>0</v>
      </c>
      <c r="BW69" s="8">
        <f>('June 2024 YTD'!BV69*2)*1.03</f>
        <v>0</v>
      </c>
      <c r="BX69" s="88">
        <v>0</v>
      </c>
      <c r="BY69" s="88">
        <v>0</v>
      </c>
      <c r="BZ69" s="88">
        <v>0</v>
      </c>
      <c r="CA69" s="8">
        <f t="shared" si="62"/>
        <v>337.67520000000002</v>
      </c>
      <c r="CB69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69" s="85" t="e">
        <f>CA69-CB69</f>
        <v>#REF!</v>
      </c>
    </row>
    <row r="70" spans="1:81">
      <c r="A70" s="9" t="s">
        <v>147</v>
      </c>
      <c r="B70" s="10">
        <f t="shared" ref="B70:BN70" si="63">SUM(B68:B69)</f>
        <v>0</v>
      </c>
      <c r="C70" s="10">
        <f t="shared" si="63"/>
        <v>2.2248000000000001</v>
      </c>
      <c r="D70" s="10">
        <f t="shared" si="63"/>
        <v>0</v>
      </c>
      <c r="E70" s="10">
        <f t="shared" si="63"/>
        <v>0</v>
      </c>
      <c r="F70" s="10">
        <f t="shared" si="63"/>
        <v>0</v>
      </c>
      <c r="G70" s="10">
        <f t="shared" si="63"/>
        <v>0</v>
      </c>
      <c r="H70" s="10">
        <f t="shared" si="63"/>
        <v>335.4504</v>
      </c>
      <c r="I70" s="10">
        <f t="shared" si="63"/>
        <v>0</v>
      </c>
      <c r="J70" s="10">
        <f t="shared" si="63"/>
        <v>0</v>
      </c>
      <c r="K70" s="10">
        <f t="shared" si="63"/>
        <v>0</v>
      </c>
      <c r="L70" s="10">
        <f t="shared" si="63"/>
        <v>0</v>
      </c>
      <c r="M70" s="10">
        <f t="shared" si="63"/>
        <v>0</v>
      </c>
      <c r="N70" s="10">
        <f t="shared" si="63"/>
        <v>372.53040000000004</v>
      </c>
      <c r="O70" s="10">
        <f t="shared" si="63"/>
        <v>0</v>
      </c>
      <c r="P70" s="10">
        <f t="shared" si="63"/>
        <v>0</v>
      </c>
      <c r="Q70" s="10">
        <f t="shared" si="63"/>
        <v>0</v>
      </c>
      <c r="R70" s="10">
        <f t="shared" si="63"/>
        <v>0</v>
      </c>
      <c r="S70" s="10">
        <f t="shared" si="63"/>
        <v>0</v>
      </c>
      <c r="T70" s="10">
        <f t="shared" si="63"/>
        <v>0</v>
      </c>
      <c r="U70" s="10">
        <f t="shared" si="63"/>
        <v>0</v>
      </c>
      <c r="V70" s="10">
        <f t="shared" si="63"/>
        <v>0</v>
      </c>
      <c r="W70" s="10">
        <f t="shared" si="63"/>
        <v>0</v>
      </c>
      <c r="X70" s="10">
        <f t="shared" si="63"/>
        <v>0</v>
      </c>
      <c r="Y70" s="10">
        <f t="shared" si="63"/>
        <v>0</v>
      </c>
      <c r="Z70" s="10">
        <f t="shared" si="63"/>
        <v>0</v>
      </c>
      <c r="AA70" s="10">
        <f t="shared" si="63"/>
        <v>0</v>
      </c>
      <c r="AB70" s="10">
        <f t="shared" si="63"/>
        <v>0</v>
      </c>
      <c r="AC70" s="10">
        <f t="shared" si="63"/>
        <v>0</v>
      </c>
      <c r="AD70" s="10">
        <f t="shared" si="63"/>
        <v>0</v>
      </c>
      <c r="AE70" s="10">
        <f t="shared" ref="AE70" si="64">SUM(AE68:AE69)</f>
        <v>0</v>
      </c>
      <c r="AF70" s="10">
        <f t="shared" si="63"/>
        <v>0</v>
      </c>
      <c r="AG70" s="10">
        <f t="shared" si="63"/>
        <v>0</v>
      </c>
      <c r="AH70" s="10">
        <f t="shared" si="63"/>
        <v>0</v>
      </c>
      <c r="AI70" s="10">
        <f t="shared" si="63"/>
        <v>0</v>
      </c>
      <c r="AJ70" s="89">
        <f t="shared" si="63"/>
        <v>0</v>
      </c>
      <c r="AK70" s="89">
        <f t="shared" si="63"/>
        <v>0</v>
      </c>
      <c r="AL70" s="89">
        <f t="shared" si="63"/>
        <v>0</v>
      </c>
      <c r="AM70" s="89">
        <f t="shared" si="63"/>
        <v>0</v>
      </c>
      <c r="AN70" s="89">
        <f t="shared" si="63"/>
        <v>0</v>
      </c>
      <c r="AO70" s="89">
        <f t="shared" si="63"/>
        <v>0</v>
      </c>
      <c r="AP70" s="89">
        <f t="shared" si="63"/>
        <v>0</v>
      </c>
      <c r="AQ70" s="10">
        <f t="shared" si="63"/>
        <v>0</v>
      </c>
      <c r="AR70" s="10">
        <f t="shared" si="63"/>
        <v>0</v>
      </c>
      <c r="AS70" s="89">
        <f t="shared" si="63"/>
        <v>0</v>
      </c>
      <c r="AT70" s="10">
        <f t="shared" si="63"/>
        <v>0</v>
      </c>
      <c r="AU70" s="89">
        <f t="shared" si="63"/>
        <v>0</v>
      </c>
      <c r="AV70" s="89">
        <f t="shared" si="63"/>
        <v>0</v>
      </c>
      <c r="AW70" s="10">
        <f t="shared" si="63"/>
        <v>0</v>
      </c>
      <c r="AX70" s="10">
        <f t="shared" si="63"/>
        <v>0</v>
      </c>
      <c r="AY70" s="89">
        <f t="shared" si="63"/>
        <v>0</v>
      </c>
      <c r="AZ70" s="10">
        <f t="shared" si="63"/>
        <v>0</v>
      </c>
      <c r="BA70" s="10">
        <f t="shared" si="63"/>
        <v>0</v>
      </c>
      <c r="BB70" s="10">
        <f t="shared" si="63"/>
        <v>0</v>
      </c>
      <c r="BC70" s="89">
        <f t="shared" si="63"/>
        <v>0</v>
      </c>
      <c r="BD70" s="89">
        <f t="shared" si="63"/>
        <v>0</v>
      </c>
      <c r="BE70" s="89">
        <f t="shared" si="63"/>
        <v>0</v>
      </c>
      <c r="BF70" s="89">
        <f t="shared" si="63"/>
        <v>0</v>
      </c>
      <c r="BG70" s="10">
        <f t="shared" si="63"/>
        <v>0</v>
      </c>
      <c r="BH70" s="10">
        <f t="shared" si="63"/>
        <v>0</v>
      </c>
      <c r="BI70" s="10">
        <f t="shared" si="63"/>
        <v>0</v>
      </c>
      <c r="BJ70" s="10">
        <f t="shared" si="63"/>
        <v>0</v>
      </c>
      <c r="BK70" s="10">
        <f t="shared" si="63"/>
        <v>0</v>
      </c>
      <c r="BL70" s="10">
        <f t="shared" si="63"/>
        <v>0</v>
      </c>
      <c r="BM70" s="10">
        <f t="shared" si="63"/>
        <v>0</v>
      </c>
      <c r="BN70" s="10">
        <f t="shared" si="63"/>
        <v>0</v>
      </c>
      <c r="BO70" s="10">
        <f t="shared" ref="BO70:CB70" si="65">SUM(BO68:BO69)</f>
        <v>0</v>
      </c>
      <c r="BP70" s="10">
        <f t="shared" si="65"/>
        <v>0</v>
      </c>
      <c r="BQ70" s="10">
        <f t="shared" si="65"/>
        <v>0</v>
      </c>
      <c r="BR70" s="10">
        <f t="shared" si="65"/>
        <v>0</v>
      </c>
      <c r="BS70" s="10">
        <f t="shared" si="65"/>
        <v>0</v>
      </c>
      <c r="BT70" s="10">
        <f t="shared" si="65"/>
        <v>0</v>
      </c>
      <c r="BU70" s="10">
        <f t="shared" si="65"/>
        <v>0</v>
      </c>
      <c r="BV70" s="10">
        <f t="shared" si="65"/>
        <v>0</v>
      </c>
      <c r="BW70" s="10">
        <f t="shared" si="65"/>
        <v>0</v>
      </c>
      <c r="BX70" s="89">
        <f t="shared" si="65"/>
        <v>0</v>
      </c>
      <c r="BY70" s="89">
        <f t="shared" si="65"/>
        <v>0</v>
      </c>
      <c r="BZ70" s="89">
        <f t="shared" si="65"/>
        <v>0</v>
      </c>
      <c r="CA70" s="10">
        <f t="shared" si="65"/>
        <v>710.2056</v>
      </c>
      <c r="CB70" s="10" t="e">
        <f t="shared" si="65"/>
        <v>#REF!</v>
      </c>
      <c r="CC70" s="114" t="e">
        <f t="shared" ref="CC70" si="66">CA70+CB70</f>
        <v>#REF!</v>
      </c>
    </row>
    <row r="71" spans="1:81">
      <c r="A71" s="6" t="s">
        <v>148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87"/>
      <c r="AK71" s="87"/>
      <c r="AL71" s="87"/>
      <c r="AM71" s="87"/>
      <c r="AN71" s="87"/>
      <c r="AO71" s="87"/>
      <c r="AP71" s="87"/>
      <c r="AQ71" s="4"/>
      <c r="AR71" s="4"/>
      <c r="AS71" s="87"/>
      <c r="AT71" s="4"/>
      <c r="AU71" s="87"/>
      <c r="AV71" s="87"/>
      <c r="AW71" s="4"/>
      <c r="AX71" s="4"/>
      <c r="AY71" s="87"/>
      <c r="AZ71" s="4"/>
      <c r="BA71" s="4"/>
      <c r="BB71" s="4"/>
      <c r="BC71" s="87"/>
      <c r="BD71" s="87"/>
      <c r="BE71" s="87"/>
      <c r="BF71" s="87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87"/>
      <c r="BY71" s="87"/>
      <c r="BZ71" s="87"/>
      <c r="CA71" s="4"/>
      <c r="CC71" s="85"/>
    </row>
    <row r="72" spans="1:81">
      <c r="A72" s="78" t="s">
        <v>149</v>
      </c>
      <c r="B72" s="8">
        <v>0</v>
      </c>
      <c r="C72" s="8">
        <f>('June 2024 YTD'!C72*2)*1.03</f>
        <v>5376.8883093600007</v>
      </c>
      <c r="D72" s="8">
        <f>('June 2024 YTD'!D72*2)*1.03</f>
        <v>1515.28685664</v>
      </c>
      <c r="E72" s="8">
        <f>('June 2024 YTD'!E72*2)*1.03</f>
        <v>587.07448896000017</v>
      </c>
      <c r="F72" s="8">
        <f>('June 2024 YTD'!F72*2)*1.03</f>
        <v>606.90808656000013</v>
      </c>
      <c r="G72" s="8">
        <f>('June 2024 YTD'!G72*2)*1.03</f>
        <v>186.43581744000005</v>
      </c>
      <c r="H72" s="8">
        <f>('June 2024 YTD'!H72*2)*1.03</f>
        <v>400.63867152</v>
      </c>
      <c r="I72" s="8">
        <f>('June 2024 YTD'!I72*2)*1.03</f>
        <v>850.86133704000019</v>
      </c>
      <c r="J72" s="8">
        <f>('June 2024 YTD'!J72*2)*1.03</f>
        <v>1620.4049239200001</v>
      </c>
      <c r="K72" s="8">
        <f>('June 2024 YTD'!K72*2)*1.03</f>
        <v>723.92631240000003</v>
      </c>
      <c r="L72" s="8">
        <f>('June 2024 YTD'!L72*2)*1.03</f>
        <v>144.78526248</v>
      </c>
      <c r="M72" s="8">
        <f>('June 2024 YTD'!M72*2)*1.03</f>
        <v>404.60539104000003</v>
      </c>
      <c r="N72" s="8">
        <f>('June 2024 YTD'!N72*2)*1.03</f>
        <v>967.87956288000009</v>
      </c>
      <c r="O72" s="8">
        <f>('June 2024 YTD'!O72*2)*1.03</f>
        <v>188.41917720000001</v>
      </c>
      <c r="P72" s="8">
        <f>('June 2024 YTD'!P72*2)*1.03</f>
        <v>31.733756160000006</v>
      </c>
      <c r="Q72" s="8">
        <f>('June 2024 YTD'!Q72*2)*1.03</f>
        <v>45.617274480000006</v>
      </c>
      <c r="R72" s="8">
        <f>('June 2024 YTD'!R72*2)*1.03</f>
        <v>45.617274480000006</v>
      </c>
      <c r="S72" s="8">
        <f>('June 2024 YTD'!S72*2)*1.03</f>
        <v>9.9167988000000022</v>
      </c>
      <c r="T72" s="8">
        <f>('June 2024 YTD'!T72*2)*1.03</f>
        <v>37.683835440000003</v>
      </c>
      <c r="U72" s="8">
        <f>('June 2024 YTD'!U72*2)*1.03</f>
        <v>230.06973216</v>
      </c>
      <c r="V72" s="8">
        <f>('June 2024 YTD'!V72*2)*1.03</f>
        <v>0</v>
      </c>
      <c r="W72" s="8">
        <f>('June 2024 YTD'!W72*2)*1.03</f>
        <v>0</v>
      </c>
      <c r="X72" s="8">
        <f>('June 2024 YTD'!X72*2)*1.03</f>
        <v>694.17591600000014</v>
      </c>
      <c r="Y72" s="8">
        <f>('June 2024 YTD'!Y72*2)*1.03</f>
        <v>0</v>
      </c>
      <c r="Z72" s="8">
        <f>('June 2024 YTD'!Z72*2)*1.03</f>
        <v>0</v>
      </c>
      <c r="AA72" s="8">
        <f>('June 2024 YTD'!AA72*2)*1.03</f>
        <v>0</v>
      </c>
      <c r="AB72" s="8">
        <f>('June 2024 YTD'!AB72*2)*1.03</f>
        <v>1422.06894792</v>
      </c>
      <c r="AC72" s="8">
        <f>('June 2024 YTD'!AC72*2)*1.03</f>
        <v>0</v>
      </c>
      <c r="AD72" s="8">
        <f>('June 2024 YTD'!AD72*2)*1.03</f>
        <v>0</v>
      </c>
      <c r="AE72" s="8">
        <v>0</v>
      </c>
      <c r="AF72" s="8">
        <f>('June 2024 YTD'!AE72*2)*1.03</f>
        <v>0</v>
      </c>
      <c r="AG72" s="8">
        <f>('June 2024 YTD'!AF72*2)*1.03</f>
        <v>1271.3336061600003</v>
      </c>
      <c r="AH72" s="8">
        <f>('June 2024 YTD'!AG72*2)*1.03</f>
        <v>575.17433040000003</v>
      </c>
      <c r="AI72" s="8">
        <f>('June 2024 YTD'!AH72*2)*1.03</f>
        <v>0</v>
      </c>
      <c r="AJ72" s="88">
        <v>0</v>
      </c>
      <c r="AK72" s="88">
        <v>0</v>
      </c>
      <c r="AL72" s="88">
        <v>0</v>
      </c>
      <c r="AM72" s="88">
        <v>0</v>
      </c>
      <c r="AN72" s="88">
        <v>0</v>
      </c>
      <c r="AO72" s="88">
        <v>0</v>
      </c>
      <c r="AP72" s="88">
        <v>0</v>
      </c>
      <c r="AQ72" s="8">
        <f>('June 2024 YTD'!AP72*2)*1.03</f>
        <v>115.03486608</v>
      </c>
      <c r="AR72" s="8">
        <f>('June 2024 YTD'!AQ72*2)*1.03</f>
        <v>0</v>
      </c>
      <c r="AS72" s="88">
        <v>0</v>
      </c>
      <c r="AT72" s="8">
        <f>('June 2024 YTD'!AS72*2)*1.03</f>
        <v>0</v>
      </c>
      <c r="AU72" s="88">
        <v>0</v>
      </c>
      <c r="AV72" s="88">
        <v>0</v>
      </c>
      <c r="AW72" s="8">
        <f>('June 2024 YTD'!AV72*2)*1.03</f>
        <v>333.20443968000001</v>
      </c>
      <c r="AX72" s="8">
        <f>('June 2024 YTD'!AW72*2)*1.03</f>
        <v>0</v>
      </c>
      <c r="AY72" s="88">
        <v>0</v>
      </c>
      <c r="AZ72" s="8">
        <f>('June 2024 YTD'!AY72*2)*1.03</f>
        <v>995.64659952000022</v>
      </c>
      <c r="BA72" s="8">
        <f>('June 2024 YTD'!AZ72*2)*1.03</f>
        <v>79.334390400000018</v>
      </c>
      <c r="BB72" s="8">
        <f>('June 2024 YTD'!BA72*2)*1.03</f>
        <v>0</v>
      </c>
      <c r="BC72" s="88">
        <v>0</v>
      </c>
      <c r="BD72" s="88">
        <v>0</v>
      </c>
      <c r="BE72" s="88">
        <v>0</v>
      </c>
      <c r="BF72" s="88">
        <v>0</v>
      </c>
      <c r="BG72" s="8">
        <v>0</v>
      </c>
      <c r="BH72" s="8">
        <f>('June 2024 YTD'!BG72*2)*1.03</f>
        <v>0</v>
      </c>
      <c r="BI72" s="8">
        <f>('June 2024 YTD'!BH72*2)*1.03</f>
        <v>0</v>
      </c>
      <c r="BJ72" s="8">
        <f>('June 2024 YTD'!BI72*2)*1.03</f>
        <v>0</v>
      </c>
      <c r="BK72" s="8">
        <f>('June 2024 YTD'!BJ72*2)*1.03</f>
        <v>0</v>
      </c>
      <c r="BL72" s="8">
        <f>('June 2024 YTD'!BK72*2)*1.03</f>
        <v>0</v>
      </c>
      <c r="BM72" s="8">
        <f>('June 2024 YTD'!BL72*2)*1.03</f>
        <v>0</v>
      </c>
      <c r="BN72" s="8">
        <f>('June 2024 YTD'!BM72*2)*1.03</f>
        <v>0</v>
      </c>
      <c r="BO72" s="8">
        <f>('June 2024 YTD'!BN72*2)*1.03</f>
        <v>0</v>
      </c>
      <c r="BP72" s="8">
        <f>('June 2024 YTD'!BO72*2)*1.03</f>
        <v>0</v>
      </c>
      <c r="BQ72" s="8">
        <f>('June 2024 YTD'!BP72*2)*1.03</f>
        <v>0</v>
      </c>
      <c r="BR72" s="8">
        <f>('June 2024 YTD'!BQ72*2)*1.03</f>
        <v>0</v>
      </c>
      <c r="BS72" s="8">
        <f>('June 2024 YTD'!BR72*2)*1.03</f>
        <v>0</v>
      </c>
      <c r="BT72" s="8">
        <f>('June 2024 YTD'!BS72*2)*1.03</f>
        <v>0</v>
      </c>
      <c r="BU72" s="8">
        <f>('June 2024 YTD'!BT72*2)*1.03</f>
        <v>0</v>
      </c>
      <c r="BV72" s="8">
        <f>('June 2024 YTD'!BU72*2)*1.03</f>
        <v>0</v>
      </c>
      <c r="BW72" s="8">
        <f>('June 2024 YTD'!BV72*2)*1.03</f>
        <v>0</v>
      </c>
      <c r="BX72" s="88">
        <v>0</v>
      </c>
      <c r="BY72" s="88">
        <v>0</v>
      </c>
      <c r="BZ72" s="88">
        <v>0</v>
      </c>
      <c r="CA72" s="8">
        <f t="shared" ref="CA72:CA76" si="67">SUM(B72:BZ72)</f>
        <v>19460.725965120011</v>
      </c>
      <c r="CB72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72" s="85" t="e">
        <f>CA72-CB72</f>
        <v>#REF!</v>
      </c>
    </row>
    <row r="73" spans="1:81">
      <c r="A73" s="78" t="s">
        <v>150</v>
      </c>
      <c r="B73" s="8">
        <v>0</v>
      </c>
      <c r="C73" s="8">
        <f>('June 2024 YTD'!C73*2)*1.03</f>
        <v>2067.9437514000001</v>
      </c>
      <c r="D73" s="8">
        <f>('June 2024 YTD'!D73*2)*1.03</f>
        <v>582.7772136000001</v>
      </c>
      <c r="E73" s="8">
        <f>('June 2024 YTD'!E73*2)*1.03</f>
        <v>225.7880304</v>
      </c>
      <c r="F73" s="8">
        <f>('June 2024 YTD'!F73*2)*1.03</f>
        <v>233.41600440000002</v>
      </c>
      <c r="G73" s="8">
        <f>('June 2024 YTD'!G73*2)*1.03</f>
        <v>71.702955599999996</v>
      </c>
      <c r="H73" s="8">
        <f>('June 2024 YTD'!H73*2)*1.03</f>
        <v>154.0850748</v>
      </c>
      <c r="I73" s="8">
        <f>('June 2024 YTD'!I73*2)*1.03</f>
        <v>327.24008459999999</v>
      </c>
      <c r="J73" s="8">
        <f>('June 2024 YTD'!J73*2)*1.03</f>
        <v>623.20547580000004</v>
      </c>
      <c r="K73" s="8">
        <f>('June 2024 YTD'!K73*2)*1.03</f>
        <v>278.42105099999998</v>
      </c>
      <c r="L73" s="8">
        <f>('June 2024 YTD'!L73*2)*1.03</f>
        <v>55.684210200000003</v>
      </c>
      <c r="M73" s="8">
        <f>('June 2024 YTD'!M73*2)*1.03</f>
        <v>155.61066960000002</v>
      </c>
      <c r="N73" s="8">
        <f>('June 2024 YTD'!N73*2)*1.03</f>
        <v>372.24513120000006</v>
      </c>
      <c r="O73" s="8">
        <f>('June 2024 YTD'!O73*2)*1.03</f>
        <v>72.465752999999992</v>
      </c>
      <c r="P73" s="8">
        <f>('June 2024 YTD'!P73*2)*1.03</f>
        <v>12.204758400000001</v>
      </c>
      <c r="Q73" s="8">
        <f>('June 2024 YTD'!Q73*2)*1.03</f>
        <v>17.544340200000001</v>
      </c>
      <c r="R73" s="8">
        <f>('June 2024 YTD'!R73*2)*1.03</f>
        <v>17.544340200000001</v>
      </c>
      <c r="S73" s="8">
        <f>('June 2024 YTD'!S73*2)*1.03</f>
        <v>3.813987</v>
      </c>
      <c r="T73" s="8">
        <f>('June 2024 YTD'!T73*2)*1.03</f>
        <v>14.493150600000002</v>
      </c>
      <c r="U73" s="8">
        <f>('June 2024 YTD'!U73*2)*1.03</f>
        <v>88.484498400000007</v>
      </c>
      <c r="V73" s="8">
        <f>('June 2024 YTD'!V73*2)*1.03</f>
        <v>0</v>
      </c>
      <c r="W73" s="8">
        <f>('June 2024 YTD'!W73*2)*1.03</f>
        <v>0</v>
      </c>
      <c r="X73" s="8">
        <f>('June 2024 YTD'!X73*2)*1.03</f>
        <v>266.97909000000004</v>
      </c>
      <c r="Y73" s="8">
        <f>('June 2024 YTD'!Y73*2)*1.03</f>
        <v>0</v>
      </c>
      <c r="Z73" s="8">
        <f>('June 2024 YTD'!Z73*2)*1.03</f>
        <v>0</v>
      </c>
      <c r="AA73" s="8">
        <f>('June 2024 YTD'!AA73*2)*1.03</f>
        <v>0</v>
      </c>
      <c r="AB73" s="8">
        <f>('June 2024 YTD'!AB73*2)*1.03</f>
        <v>546.92573579999998</v>
      </c>
      <c r="AC73" s="8">
        <f>('June 2024 YTD'!AC73*2)*1.03</f>
        <v>0</v>
      </c>
      <c r="AD73" s="8">
        <f>('June 2024 YTD'!AD73*2)*1.03</f>
        <v>0</v>
      </c>
      <c r="AE73" s="8">
        <v>0</v>
      </c>
      <c r="AF73" s="8">
        <f>('June 2024 YTD'!AE73*2)*1.03</f>
        <v>0</v>
      </c>
      <c r="AG73" s="8">
        <f>('June 2024 YTD'!AF73*2)*1.03</f>
        <v>488.95313340000007</v>
      </c>
      <c r="AH73" s="8">
        <f>('June 2024 YTD'!AG73*2)*1.03</f>
        <v>221.21124600000002</v>
      </c>
      <c r="AI73" s="8">
        <f>('June 2024 YTD'!AH73*2)*1.03</f>
        <v>0</v>
      </c>
      <c r="AJ73" s="88">
        <v>0</v>
      </c>
      <c r="AK73" s="88">
        <v>0</v>
      </c>
      <c r="AL73" s="88">
        <v>0</v>
      </c>
      <c r="AM73" s="88">
        <v>0</v>
      </c>
      <c r="AN73" s="88">
        <v>0</v>
      </c>
      <c r="AO73" s="88">
        <v>0</v>
      </c>
      <c r="AP73" s="88">
        <v>0</v>
      </c>
      <c r="AQ73" s="8">
        <f>('June 2024 YTD'!AP73*2)*1.03</f>
        <v>44.242249200000003</v>
      </c>
      <c r="AR73" s="8">
        <f>('June 2024 YTD'!AQ73*2)*1.03</f>
        <v>0</v>
      </c>
      <c r="AS73" s="88">
        <v>0</v>
      </c>
      <c r="AT73" s="8">
        <f>('June 2024 YTD'!AS73*2)*1.03</f>
        <v>0</v>
      </c>
      <c r="AU73" s="88">
        <v>0</v>
      </c>
      <c r="AV73" s="88">
        <v>0</v>
      </c>
      <c r="AW73" s="8">
        <f>('June 2024 YTD'!AV73*2)*1.03</f>
        <v>128.1499632</v>
      </c>
      <c r="AX73" s="8">
        <f>('June 2024 YTD'!AW73*2)*1.03</f>
        <v>0</v>
      </c>
      <c r="AY73" s="88">
        <v>0</v>
      </c>
      <c r="AZ73" s="8">
        <f>('June 2024 YTD'!AY73*2)*1.03</f>
        <v>382.92429480000004</v>
      </c>
      <c r="BA73" s="8">
        <f>('June 2024 YTD'!AZ73*2)*1.03</f>
        <v>30.511896</v>
      </c>
      <c r="BB73" s="8">
        <f>('June 2024 YTD'!BA73*2)*1.03</f>
        <v>0</v>
      </c>
      <c r="BC73" s="88">
        <v>0</v>
      </c>
      <c r="BD73" s="88">
        <v>0</v>
      </c>
      <c r="BE73" s="88">
        <v>0</v>
      </c>
      <c r="BF73" s="88">
        <v>0</v>
      </c>
      <c r="BG73" s="8">
        <v>0</v>
      </c>
      <c r="BH73" s="8">
        <f>('June 2024 YTD'!BG73*2)*1.03</f>
        <v>0</v>
      </c>
      <c r="BI73" s="8">
        <f>('June 2024 YTD'!BH73*2)*1.03</f>
        <v>0</v>
      </c>
      <c r="BJ73" s="8">
        <f>('June 2024 YTD'!BI73*2)*1.03</f>
        <v>0</v>
      </c>
      <c r="BK73" s="8">
        <f>('June 2024 YTD'!BJ73*2)*1.03</f>
        <v>0</v>
      </c>
      <c r="BL73" s="8">
        <f>('June 2024 YTD'!BK73*2)*1.03</f>
        <v>0</v>
      </c>
      <c r="BM73" s="8">
        <f>('June 2024 YTD'!BL73*2)*1.03</f>
        <v>0</v>
      </c>
      <c r="BN73" s="8">
        <f>('June 2024 YTD'!BM73*2)*1.03</f>
        <v>0</v>
      </c>
      <c r="BO73" s="8">
        <f>('June 2024 YTD'!BN73*2)*1.03</f>
        <v>0</v>
      </c>
      <c r="BP73" s="8">
        <f>('June 2024 YTD'!BO73*2)*1.03</f>
        <v>0</v>
      </c>
      <c r="BQ73" s="8">
        <f>('June 2024 YTD'!BP73*2)*1.03</f>
        <v>0</v>
      </c>
      <c r="BR73" s="8">
        <f>('June 2024 YTD'!BQ73*2)*1.03</f>
        <v>0</v>
      </c>
      <c r="BS73" s="8">
        <f>('June 2024 YTD'!BR73*2)*1.03</f>
        <v>0</v>
      </c>
      <c r="BT73" s="8">
        <f>('June 2024 YTD'!BS73*2)*1.03</f>
        <v>0</v>
      </c>
      <c r="BU73" s="8">
        <f>('June 2024 YTD'!BT73*2)*1.03</f>
        <v>0</v>
      </c>
      <c r="BV73" s="8">
        <f>('June 2024 YTD'!BU73*2)*1.03</f>
        <v>0</v>
      </c>
      <c r="BW73" s="8">
        <f>('June 2024 YTD'!BV73*2)*1.03</f>
        <v>0</v>
      </c>
      <c r="BX73" s="88">
        <v>0</v>
      </c>
      <c r="BY73" s="88">
        <v>0</v>
      </c>
      <c r="BZ73" s="88">
        <v>0</v>
      </c>
      <c r="CA73" s="8">
        <f t="shared" si="67"/>
        <v>7484.5680888000015</v>
      </c>
      <c r="CB73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73" s="85" t="e">
        <f t="shared" ref="CC73:CC99" si="68">CA73-CB73</f>
        <v>#REF!</v>
      </c>
    </row>
    <row r="74" spans="1:81">
      <c r="A74" s="78" t="s">
        <v>151</v>
      </c>
      <c r="B74" s="8">
        <v>0</v>
      </c>
      <c r="C74" s="8">
        <f>('June 2024 YTD'!C74*2)*1.03</f>
        <v>3810.12311568</v>
      </c>
      <c r="D74" s="8">
        <f>('June 2024 YTD'!D74*2)*1.03</f>
        <v>1073.7491923199998</v>
      </c>
      <c r="E74" s="8">
        <f>('June 2024 YTD'!E74*2)*1.03</f>
        <v>416.00754047999999</v>
      </c>
      <c r="F74" s="8">
        <f>('June 2024 YTD'!F74*2)*1.03</f>
        <v>430.06184927999993</v>
      </c>
      <c r="G74" s="8">
        <f>('June 2024 YTD'!G74*2)*1.03</f>
        <v>132.11050272</v>
      </c>
      <c r="H74" s="8">
        <f>('June 2024 YTD'!H74*2)*1.03</f>
        <v>283.89703775999999</v>
      </c>
      <c r="I74" s="8">
        <f>('June 2024 YTD'!I74*2)*1.03</f>
        <v>602.92984752000007</v>
      </c>
      <c r="J74" s="8">
        <f>('June 2024 YTD'!J74*2)*1.03</f>
        <v>1148.2370289599999</v>
      </c>
      <c r="K74" s="8">
        <f>('June 2024 YTD'!K74*2)*1.03</f>
        <v>512.98227120000001</v>
      </c>
      <c r="L74" s="8">
        <f>('June 2024 YTD'!L74*2)*1.03</f>
        <v>102.59645424</v>
      </c>
      <c r="M74" s="8">
        <f>('June 2024 YTD'!M74*2)*1.03</f>
        <v>286.70789952000001</v>
      </c>
      <c r="N74" s="8">
        <f>('June 2024 YTD'!N74*2)*1.03</f>
        <v>685.85026944000003</v>
      </c>
      <c r="O74" s="8">
        <f>('June 2024 YTD'!O74*2)*1.03</f>
        <v>133.51593359999998</v>
      </c>
      <c r="P74" s="8">
        <f>('June 2024 YTD'!P74*2)*1.03</f>
        <v>22.486894079999999</v>
      </c>
      <c r="Q74" s="8">
        <f>('June 2024 YTD'!Q74*2)*1.03</f>
        <v>32.324910239999994</v>
      </c>
      <c r="R74" s="8">
        <f>('June 2024 YTD'!R74*2)*1.03</f>
        <v>32.324910239999994</v>
      </c>
      <c r="S74" s="8">
        <f>('June 2024 YTD'!S74*2)*1.03</f>
        <v>7.0271543999999997</v>
      </c>
      <c r="T74" s="8">
        <f>('June 2024 YTD'!T74*2)*1.03</f>
        <v>26.703186720000001</v>
      </c>
      <c r="U74" s="8">
        <f>('June 2024 YTD'!U74*2)*1.03</f>
        <v>163.02998208</v>
      </c>
      <c r="V74" s="8">
        <f>('June 2024 YTD'!V74*2)*1.03</f>
        <v>0</v>
      </c>
      <c r="W74" s="8">
        <f>('June 2024 YTD'!W74*2)*1.03</f>
        <v>0</v>
      </c>
      <c r="X74" s="8">
        <f>('June 2024 YTD'!X74*2)*1.03</f>
        <v>491.90080799999998</v>
      </c>
      <c r="Y74" s="8">
        <f>('June 2024 YTD'!Y74*2)*1.03</f>
        <v>0</v>
      </c>
      <c r="Z74" s="8">
        <f>('June 2024 YTD'!Z74*2)*1.03</f>
        <v>0</v>
      </c>
      <c r="AA74" s="8">
        <f>('June 2024 YTD'!AA74*2)*1.03</f>
        <v>0</v>
      </c>
      <c r="AB74" s="8">
        <f>('June 2024 YTD'!AB74*2)*1.03</f>
        <v>1007.69394096</v>
      </c>
      <c r="AC74" s="8">
        <f>('June 2024 YTD'!AC74*2)*1.03</f>
        <v>0</v>
      </c>
      <c r="AD74" s="8">
        <f>('June 2024 YTD'!AD74*2)*1.03</f>
        <v>0</v>
      </c>
      <c r="AE74" s="8">
        <v>0</v>
      </c>
      <c r="AF74" s="8">
        <f>('June 2024 YTD'!AE74*2)*1.03</f>
        <v>0</v>
      </c>
      <c r="AG74" s="8">
        <f>('June 2024 YTD'!AF74*2)*1.03</f>
        <v>900.88119408</v>
      </c>
      <c r="AH74" s="8">
        <f>('June 2024 YTD'!AG74*2)*1.03</f>
        <v>407.57495520000003</v>
      </c>
      <c r="AI74" s="8">
        <f>('June 2024 YTD'!AH74*2)*1.03</f>
        <v>0</v>
      </c>
      <c r="AJ74" s="88">
        <v>0</v>
      </c>
      <c r="AK74" s="88">
        <v>0</v>
      </c>
      <c r="AL74" s="88">
        <v>0</v>
      </c>
      <c r="AM74" s="88">
        <v>0</v>
      </c>
      <c r="AN74" s="88">
        <v>0</v>
      </c>
      <c r="AO74" s="88">
        <v>0</v>
      </c>
      <c r="AP74" s="88">
        <v>0</v>
      </c>
      <c r="AQ74" s="8">
        <f>('June 2024 YTD'!AP74*2)*1.03</f>
        <v>81.514991039999998</v>
      </c>
      <c r="AR74" s="8">
        <f>('June 2024 YTD'!AQ74*2)*1.03</f>
        <v>0</v>
      </c>
      <c r="AS74" s="88">
        <v>0</v>
      </c>
      <c r="AT74" s="8">
        <f>('June 2024 YTD'!AS74*2)*1.03</f>
        <v>0</v>
      </c>
      <c r="AU74" s="88">
        <v>0</v>
      </c>
      <c r="AV74" s="88">
        <v>0</v>
      </c>
      <c r="AW74" s="8">
        <f>('June 2024 YTD'!AV74*2)*1.03</f>
        <v>236.11238784</v>
      </c>
      <c r="AX74" s="8">
        <f>('June 2024 YTD'!AW74*2)*1.03</f>
        <v>0</v>
      </c>
      <c r="AY74" s="88">
        <v>0</v>
      </c>
      <c r="AZ74" s="8">
        <f>('June 2024 YTD'!AY74*2)*1.03</f>
        <v>705.52630176000002</v>
      </c>
      <c r="BA74" s="8">
        <f>('June 2024 YTD'!AZ74*2)*1.03</f>
        <v>56.217235199999998</v>
      </c>
      <c r="BB74" s="8">
        <f>('June 2024 YTD'!BA74*2)*1.03</f>
        <v>0</v>
      </c>
      <c r="BC74" s="88">
        <v>0</v>
      </c>
      <c r="BD74" s="88">
        <v>0</v>
      </c>
      <c r="BE74" s="88">
        <v>0</v>
      </c>
      <c r="BF74" s="88">
        <v>0</v>
      </c>
      <c r="BG74" s="8">
        <v>0</v>
      </c>
      <c r="BH74" s="8">
        <f>('June 2024 YTD'!BG74*2)*1.03</f>
        <v>0</v>
      </c>
      <c r="BI74" s="8">
        <f>('June 2024 YTD'!BH74*2)*1.03</f>
        <v>0</v>
      </c>
      <c r="BJ74" s="8">
        <f>('June 2024 YTD'!BI74*2)*1.03</f>
        <v>0</v>
      </c>
      <c r="BK74" s="8">
        <f>('June 2024 YTD'!BJ74*2)*1.03</f>
        <v>0</v>
      </c>
      <c r="BL74" s="8">
        <f>('June 2024 YTD'!BK74*2)*1.03</f>
        <v>0</v>
      </c>
      <c r="BM74" s="8">
        <f>('June 2024 YTD'!BL74*2)*1.03</f>
        <v>0</v>
      </c>
      <c r="BN74" s="8">
        <f>('June 2024 YTD'!BM74*2)*1.03</f>
        <v>0</v>
      </c>
      <c r="BO74" s="8">
        <f>('June 2024 YTD'!BN74*2)*1.03</f>
        <v>0</v>
      </c>
      <c r="BP74" s="8">
        <f>('June 2024 YTD'!BO74*2)*1.03</f>
        <v>0</v>
      </c>
      <c r="BQ74" s="8">
        <f>('June 2024 YTD'!BP74*2)*1.03</f>
        <v>0</v>
      </c>
      <c r="BR74" s="8">
        <f>('June 2024 YTD'!BQ74*2)*1.03</f>
        <v>0</v>
      </c>
      <c r="BS74" s="8">
        <f>('June 2024 YTD'!BR74*2)*1.03</f>
        <v>0</v>
      </c>
      <c r="BT74" s="8">
        <f>('June 2024 YTD'!BS74*2)*1.03</f>
        <v>0</v>
      </c>
      <c r="BU74" s="8">
        <f>('June 2024 YTD'!BT74*2)*1.03</f>
        <v>0</v>
      </c>
      <c r="BV74" s="8">
        <f>('June 2024 YTD'!BU74*2)*1.03</f>
        <v>0</v>
      </c>
      <c r="BW74" s="8">
        <f>('June 2024 YTD'!BV74*2)*1.03</f>
        <v>0</v>
      </c>
      <c r="BX74" s="88">
        <v>0</v>
      </c>
      <c r="BY74" s="88">
        <v>0</v>
      </c>
      <c r="BZ74" s="88">
        <v>0</v>
      </c>
      <c r="CA74" s="8">
        <f t="shared" si="67"/>
        <v>13790.087794560002</v>
      </c>
      <c r="CB74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74" s="85" t="e">
        <f t="shared" si="68"/>
        <v>#REF!</v>
      </c>
    </row>
    <row r="75" spans="1:81">
      <c r="A75" s="78" t="s">
        <v>152</v>
      </c>
      <c r="B75" s="8">
        <v>0</v>
      </c>
      <c r="C75" s="8">
        <f>('June 2024 YTD'!C75*2)*1.03</f>
        <v>498.62078344000008</v>
      </c>
      <c r="D75" s="8">
        <f>('June 2024 YTD'!D75*2)*1.03</f>
        <v>140.51873055999999</v>
      </c>
      <c r="E75" s="8">
        <f>('June 2024 YTD'!E75*2)*1.03</f>
        <v>54.441811840000007</v>
      </c>
      <c r="F75" s="8">
        <f>('June 2024 YTD'!F75*2)*1.03</f>
        <v>56.281062239999997</v>
      </c>
      <c r="G75" s="8">
        <f>('June 2024 YTD'!G75*2)*1.03</f>
        <v>17.288953760000002</v>
      </c>
      <c r="H75" s="8">
        <f>('June 2024 YTD'!H75*2)*1.03</f>
        <v>37.152858079999994</v>
      </c>
      <c r="I75" s="8">
        <f>('June 2024 YTD'!I75*2)*1.03</f>
        <v>78.903842159999996</v>
      </c>
      <c r="J75" s="8">
        <f>('June 2024 YTD'!J75*2)*1.03</f>
        <v>150.26675767999998</v>
      </c>
      <c r="K75" s="8">
        <f>('June 2024 YTD'!K75*2)*1.03</f>
        <v>67.13263959999999</v>
      </c>
      <c r="L75" s="8">
        <f>('June 2024 YTD'!L75*2)*1.03</f>
        <v>13.426527920000002</v>
      </c>
      <c r="M75" s="8">
        <f>('June 2024 YTD'!M75*2)*1.03</f>
        <v>37.520708160000005</v>
      </c>
      <c r="N75" s="8">
        <f>('June 2024 YTD'!N75*2)*1.03</f>
        <v>89.755419520000018</v>
      </c>
      <c r="O75" s="8">
        <f>('June 2024 YTD'!O75*2)*1.03</f>
        <v>17.4728788</v>
      </c>
      <c r="P75" s="8">
        <f>('June 2024 YTD'!P75*2)*1.03</f>
        <v>2.9428006400000002</v>
      </c>
      <c r="Q75" s="8">
        <f>('June 2024 YTD'!Q75*2)*1.03</f>
        <v>4.2302759200000004</v>
      </c>
      <c r="R75" s="8">
        <f>('June 2024 YTD'!R75*2)*1.03</f>
        <v>4.2302759200000004</v>
      </c>
      <c r="S75" s="8">
        <f>('June 2024 YTD'!S75*2)*1.03</f>
        <v>0.91962520000000014</v>
      </c>
      <c r="T75" s="8">
        <f>('June 2024 YTD'!T75*2)*1.03</f>
        <v>3.49457576</v>
      </c>
      <c r="U75" s="8">
        <f>('June 2024 YTD'!U75*2)*1.03</f>
        <v>21.33530464</v>
      </c>
      <c r="V75" s="8">
        <f>('June 2024 YTD'!V75*2)*1.03</f>
        <v>0</v>
      </c>
      <c r="W75" s="8">
        <f>('June 2024 YTD'!W75*2)*1.03</f>
        <v>0</v>
      </c>
      <c r="X75" s="8">
        <f>('June 2024 YTD'!X75*2)*1.03</f>
        <v>64.373764000000008</v>
      </c>
      <c r="Y75" s="8">
        <f>('June 2024 YTD'!Y75*2)*1.03</f>
        <v>0</v>
      </c>
      <c r="Z75" s="8">
        <f>('June 2024 YTD'!Z75*2)*1.03</f>
        <v>0</v>
      </c>
      <c r="AA75" s="8">
        <f>('June 2024 YTD'!AA75*2)*1.03</f>
        <v>0</v>
      </c>
      <c r="AB75" s="8">
        <f>('June 2024 YTD'!AB75*2)*1.03</f>
        <v>131.87425368000001</v>
      </c>
      <c r="AC75" s="8">
        <f>('June 2024 YTD'!AC75*2)*1.03</f>
        <v>0</v>
      </c>
      <c r="AD75" s="8">
        <f>('June 2024 YTD'!AD75*2)*1.03</f>
        <v>0</v>
      </c>
      <c r="AE75" s="8">
        <v>0</v>
      </c>
      <c r="AF75" s="8">
        <f>('June 2024 YTD'!AE75*2)*1.03</f>
        <v>0</v>
      </c>
      <c r="AG75" s="8">
        <f>('June 2024 YTD'!AF75*2)*1.03</f>
        <v>117.89595064000001</v>
      </c>
      <c r="AH75" s="8">
        <f>('June 2024 YTD'!AG75*2)*1.03</f>
        <v>53.33826160000001</v>
      </c>
      <c r="AI75" s="8">
        <f>('June 2024 YTD'!AH75*2)*1.03</f>
        <v>0</v>
      </c>
      <c r="AJ75" s="88">
        <v>0</v>
      </c>
      <c r="AK75" s="88">
        <v>0</v>
      </c>
      <c r="AL75" s="88">
        <v>0</v>
      </c>
      <c r="AM75" s="88">
        <v>0</v>
      </c>
      <c r="AN75" s="88">
        <v>0</v>
      </c>
      <c r="AO75" s="88">
        <v>0</v>
      </c>
      <c r="AP75" s="88">
        <v>0</v>
      </c>
      <c r="AQ75" s="8">
        <f>('June 2024 YTD'!AP75*2)*1.03</f>
        <v>10.66765232</v>
      </c>
      <c r="AR75" s="8">
        <f>('June 2024 YTD'!AQ75*2)*1.03</f>
        <v>0</v>
      </c>
      <c r="AS75" s="88">
        <v>0</v>
      </c>
      <c r="AT75" s="8">
        <f>('June 2024 YTD'!AS75*2)*1.03</f>
        <v>0</v>
      </c>
      <c r="AU75" s="88">
        <v>0</v>
      </c>
      <c r="AV75" s="88">
        <v>0</v>
      </c>
      <c r="AW75" s="8">
        <f>('June 2024 YTD'!AV75*2)*1.03</f>
        <v>30.899406719999998</v>
      </c>
      <c r="AX75" s="8">
        <f>('June 2024 YTD'!AW75*2)*1.03</f>
        <v>0</v>
      </c>
      <c r="AY75" s="88">
        <v>0</v>
      </c>
      <c r="AZ75" s="8">
        <f>('June 2024 YTD'!AY75*2)*1.03</f>
        <v>92.330370080000009</v>
      </c>
      <c r="BA75" s="8">
        <f>('June 2024 YTD'!AZ75*2)*1.03</f>
        <v>7.3570016000000011</v>
      </c>
      <c r="BB75" s="8">
        <f>('June 2024 YTD'!BA75*2)*1.03</f>
        <v>0</v>
      </c>
      <c r="BC75" s="88">
        <v>0</v>
      </c>
      <c r="BD75" s="88">
        <v>0</v>
      </c>
      <c r="BE75" s="88">
        <v>0</v>
      </c>
      <c r="BF75" s="88">
        <v>0</v>
      </c>
      <c r="BG75" s="8">
        <v>0</v>
      </c>
      <c r="BH75" s="8">
        <f>('June 2024 YTD'!BG75*2)*1.03</f>
        <v>0</v>
      </c>
      <c r="BI75" s="8">
        <f>('June 2024 YTD'!BH75*2)*1.03</f>
        <v>0</v>
      </c>
      <c r="BJ75" s="8">
        <f>('June 2024 YTD'!BI75*2)*1.03</f>
        <v>0</v>
      </c>
      <c r="BK75" s="8">
        <f>('June 2024 YTD'!BJ75*2)*1.03</f>
        <v>0</v>
      </c>
      <c r="BL75" s="8">
        <f>('June 2024 YTD'!BK75*2)*1.03</f>
        <v>0</v>
      </c>
      <c r="BM75" s="8">
        <f>('June 2024 YTD'!BL75*2)*1.03</f>
        <v>0</v>
      </c>
      <c r="BN75" s="8">
        <f>('June 2024 YTD'!BM75*2)*1.03</f>
        <v>0</v>
      </c>
      <c r="BO75" s="8">
        <f>('June 2024 YTD'!BN75*2)*1.03</f>
        <v>0</v>
      </c>
      <c r="BP75" s="8">
        <f>('June 2024 YTD'!BO75*2)*1.03</f>
        <v>0</v>
      </c>
      <c r="BQ75" s="8">
        <f>('June 2024 YTD'!BP75*2)*1.03</f>
        <v>0</v>
      </c>
      <c r="BR75" s="8">
        <f>('June 2024 YTD'!BQ75*2)*1.03</f>
        <v>0</v>
      </c>
      <c r="BS75" s="8">
        <f>('June 2024 YTD'!BR75*2)*1.03</f>
        <v>0</v>
      </c>
      <c r="BT75" s="8">
        <f>('June 2024 YTD'!BS75*2)*1.03</f>
        <v>0</v>
      </c>
      <c r="BU75" s="8">
        <f>('June 2024 YTD'!BT75*2)*1.03</f>
        <v>0</v>
      </c>
      <c r="BV75" s="8">
        <f>('June 2024 YTD'!BU75*2)*1.03</f>
        <v>0</v>
      </c>
      <c r="BW75" s="8">
        <f>('June 2024 YTD'!BV75*2)*1.03</f>
        <v>0</v>
      </c>
      <c r="BX75" s="88">
        <v>0</v>
      </c>
      <c r="BY75" s="88">
        <v>0</v>
      </c>
      <c r="BZ75" s="88">
        <v>0</v>
      </c>
      <c r="CA75" s="8">
        <f t="shared" si="67"/>
        <v>1804.6724924799994</v>
      </c>
      <c r="CB75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75" s="85" t="e">
        <f t="shared" si="68"/>
        <v>#REF!</v>
      </c>
    </row>
    <row r="76" spans="1:81">
      <c r="A76" s="78" t="s">
        <v>153</v>
      </c>
      <c r="B76" s="8">
        <v>0</v>
      </c>
      <c r="C76" s="8">
        <f>('June 2024 YTD'!C76*2)*1.03</f>
        <v>1398.3876946800001</v>
      </c>
      <c r="D76" s="8">
        <f>('June 2024 YTD'!D76*2)*1.03</f>
        <v>394.08638831999997</v>
      </c>
      <c r="E76" s="8">
        <f>('June 2024 YTD'!E76*2)*1.03</f>
        <v>152.68268448000003</v>
      </c>
      <c r="F76" s="8">
        <f>('June 2024 YTD'!F76*2)*1.03</f>
        <v>157.84088327999999</v>
      </c>
      <c r="G76" s="8">
        <f>('June 2024 YTD'!G76*2)*1.03</f>
        <v>48.487068720000003</v>
      </c>
      <c r="H76" s="8">
        <f>('June 2024 YTD'!H76*2)*1.03</f>
        <v>104.19561576000001</v>
      </c>
      <c r="I76" s="8">
        <f>('June 2024 YTD'!I76*2)*1.03</f>
        <v>221.28672852000003</v>
      </c>
      <c r="J76" s="8">
        <f>('June 2024 YTD'!J76*2)*1.03</f>
        <v>421.42484195999998</v>
      </c>
      <c r="K76" s="8">
        <f>('June 2024 YTD'!K76*2)*1.03</f>
        <v>188.2742562</v>
      </c>
      <c r="L76" s="8">
        <f>('June 2024 YTD'!L76*2)*1.03</f>
        <v>37.654851239999999</v>
      </c>
      <c r="M76" s="8">
        <f>('June 2024 YTD'!M76*2)*1.03</f>
        <v>105.22725552</v>
      </c>
      <c r="N76" s="8">
        <f>('June 2024 YTD'!N76*2)*1.03</f>
        <v>251.72010144000001</v>
      </c>
      <c r="O76" s="8">
        <f>('June 2024 YTD'!O76*2)*1.03</f>
        <v>49.002888599999999</v>
      </c>
      <c r="P76" s="8">
        <f>('June 2024 YTD'!P76*2)*1.03</f>
        <v>8.2531180800000001</v>
      </c>
      <c r="Q76" s="8">
        <f>('June 2024 YTD'!Q76*2)*1.03</f>
        <v>11.86385724</v>
      </c>
      <c r="R76" s="8">
        <f>('June 2024 YTD'!R76*2)*1.03</f>
        <v>11.86385724</v>
      </c>
      <c r="S76" s="8">
        <f>('June 2024 YTD'!S76*2)*1.03</f>
        <v>2.5790994</v>
      </c>
      <c r="T76" s="8">
        <f>('June 2024 YTD'!T76*2)*1.03</f>
        <v>9.8005777199999997</v>
      </c>
      <c r="U76" s="8">
        <f>('June 2024 YTD'!U76*2)*1.03</f>
        <v>59.835106079999996</v>
      </c>
      <c r="V76" s="8">
        <f>('June 2024 YTD'!V76*2)*1.03</f>
        <v>0</v>
      </c>
      <c r="W76" s="8">
        <f>('June 2024 YTD'!W76*2)*1.03</f>
        <v>0</v>
      </c>
      <c r="X76" s="8">
        <f>('June 2024 YTD'!X76*2)*1.03</f>
        <v>180.53695800000003</v>
      </c>
      <c r="Y76" s="8">
        <f>('June 2024 YTD'!Y76*2)*1.03</f>
        <v>0</v>
      </c>
      <c r="Z76" s="8">
        <f>('June 2024 YTD'!Z76*2)*1.03</f>
        <v>0</v>
      </c>
      <c r="AA76" s="8">
        <f>('June 2024 YTD'!AA76*2)*1.03</f>
        <v>0</v>
      </c>
      <c r="AB76" s="8">
        <f>('June 2024 YTD'!AB76*2)*1.03</f>
        <v>369.84285396000001</v>
      </c>
      <c r="AC76" s="8">
        <f>('June 2024 YTD'!AC76*2)*1.03</f>
        <v>0</v>
      </c>
      <c r="AD76" s="8">
        <f>('June 2024 YTD'!AD76*2)*1.03</f>
        <v>0</v>
      </c>
      <c r="AE76" s="8">
        <v>0</v>
      </c>
      <c r="AF76" s="8">
        <f>('June 2024 YTD'!AE76*2)*1.03</f>
        <v>0</v>
      </c>
      <c r="AG76" s="8">
        <f>('June 2024 YTD'!AF76*2)*1.03</f>
        <v>330.64054308000004</v>
      </c>
      <c r="AH76" s="8">
        <f>('June 2024 YTD'!AG76*2)*1.03</f>
        <v>149.58776520000001</v>
      </c>
      <c r="AI76" s="8">
        <f>('June 2024 YTD'!AH76*2)*1.03</f>
        <v>0</v>
      </c>
      <c r="AJ76" s="88">
        <v>0</v>
      </c>
      <c r="AK76" s="88">
        <v>0</v>
      </c>
      <c r="AL76" s="88">
        <v>0</v>
      </c>
      <c r="AM76" s="88">
        <v>0</v>
      </c>
      <c r="AN76" s="88">
        <v>0</v>
      </c>
      <c r="AO76" s="88">
        <v>0</v>
      </c>
      <c r="AP76" s="88">
        <v>0</v>
      </c>
      <c r="AQ76" s="8">
        <f>('June 2024 YTD'!AP76*2)*1.03</f>
        <v>29.917553039999998</v>
      </c>
      <c r="AR76" s="8">
        <f>('June 2024 YTD'!AQ76*2)*1.03</f>
        <v>0</v>
      </c>
      <c r="AS76" s="88">
        <v>0</v>
      </c>
      <c r="AT76" s="8">
        <f>('June 2024 YTD'!AS76*2)*1.03</f>
        <v>0</v>
      </c>
      <c r="AU76" s="88">
        <v>0</v>
      </c>
      <c r="AV76" s="88">
        <v>0</v>
      </c>
      <c r="AW76" s="8">
        <f>('June 2024 YTD'!AV76*2)*1.03</f>
        <v>86.657739839999991</v>
      </c>
      <c r="AX76" s="8">
        <f>('June 2024 YTD'!AW76*2)*1.03</f>
        <v>0</v>
      </c>
      <c r="AY76" s="88">
        <v>0</v>
      </c>
      <c r="AZ76" s="8">
        <f>('June 2024 YTD'!AY76*2)*1.03</f>
        <v>258.94157976000002</v>
      </c>
      <c r="BA76" s="8">
        <f>('June 2024 YTD'!AZ76*2)*1.03</f>
        <v>20.6327952</v>
      </c>
      <c r="BB76" s="8">
        <f>('June 2024 YTD'!BA76*2)*1.03</f>
        <v>0</v>
      </c>
      <c r="BC76" s="88">
        <v>0</v>
      </c>
      <c r="BD76" s="88">
        <v>0</v>
      </c>
      <c r="BE76" s="88">
        <v>0</v>
      </c>
      <c r="BF76" s="88">
        <v>0</v>
      </c>
      <c r="BG76" s="8">
        <v>0</v>
      </c>
      <c r="BH76" s="8">
        <f>('June 2024 YTD'!BG76*2)*1.03</f>
        <v>0</v>
      </c>
      <c r="BI76" s="8">
        <f>('June 2024 YTD'!BH76*2)*1.03</f>
        <v>0</v>
      </c>
      <c r="BJ76" s="8">
        <f>('June 2024 YTD'!BI76*2)*1.03</f>
        <v>0</v>
      </c>
      <c r="BK76" s="8">
        <f>('June 2024 YTD'!BJ76*2)*1.03</f>
        <v>0</v>
      </c>
      <c r="BL76" s="8">
        <f>('June 2024 YTD'!BK76*2)*1.03</f>
        <v>0</v>
      </c>
      <c r="BM76" s="8">
        <f>('June 2024 YTD'!BL76*2)*1.03</f>
        <v>0</v>
      </c>
      <c r="BN76" s="8">
        <f>('June 2024 YTD'!BM76*2)*1.03</f>
        <v>0</v>
      </c>
      <c r="BO76" s="8">
        <f>('June 2024 YTD'!BN76*2)*1.03</f>
        <v>0</v>
      </c>
      <c r="BP76" s="8">
        <f>('June 2024 YTD'!BO76*2)*1.03</f>
        <v>0</v>
      </c>
      <c r="BQ76" s="8">
        <f>('June 2024 YTD'!BP76*2)*1.03</f>
        <v>0</v>
      </c>
      <c r="BR76" s="8">
        <f>('June 2024 YTD'!BQ76*2)*1.03</f>
        <v>0</v>
      </c>
      <c r="BS76" s="8">
        <f>('June 2024 YTD'!BR76*2)*1.03</f>
        <v>0</v>
      </c>
      <c r="BT76" s="8">
        <f>('June 2024 YTD'!BS76*2)*1.03</f>
        <v>0</v>
      </c>
      <c r="BU76" s="8">
        <f>('June 2024 YTD'!BT76*2)*1.03</f>
        <v>0</v>
      </c>
      <c r="BV76" s="8">
        <f>('June 2024 YTD'!BU76*2)*1.03</f>
        <v>0</v>
      </c>
      <c r="BW76" s="8">
        <f>('June 2024 YTD'!BV76*2)*1.03</f>
        <v>0</v>
      </c>
      <c r="BX76" s="88">
        <v>0</v>
      </c>
      <c r="BY76" s="88">
        <v>0</v>
      </c>
      <c r="BZ76" s="88">
        <v>0</v>
      </c>
      <c r="CA76" s="8">
        <f t="shared" si="67"/>
        <v>5061.224662560001</v>
      </c>
      <c r="CB76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76" s="85" t="e">
        <f t="shared" si="68"/>
        <v>#REF!</v>
      </c>
    </row>
    <row r="77" spans="1:81">
      <c r="A77" s="9" t="s">
        <v>154</v>
      </c>
      <c r="B77" s="10">
        <f t="shared" ref="B77:BN77" si="69">SUM(B72:B76)</f>
        <v>0</v>
      </c>
      <c r="C77" s="10">
        <f t="shared" si="69"/>
        <v>13151.963654560001</v>
      </c>
      <c r="D77" s="10">
        <f t="shared" si="69"/>
        <v>3706.4183814400003</v>
      </c>
      <c r="E77" s="10">
        <f t="shared" si="69"/>
        <v>1435.99455616</v>
      </c>
      <c r="F77" s="10">
        <f t="shared" si="69"/>
        <v>1484.5078857600001</v>
      </c>
      <c r="G77" s="10">
        <f t="shared" si="69"/>
        <v>456.0252982400001</v>
      </c>
      <c r="H77" s="10">
        <f t="shared" si="69"/>
        <v>979.96925792000002</v>
      </c>
      <c r="I77" s="10">
        <f t="shared" si="69"/>
        <v>2081.2218398400005</v>
      </c>
      <c r="J77" s="10">
        <f t="shared" si="69"/>
        <v>3963.5390283199999</v>
      </c>
      <c r="K77" s="10">
        <f t="shared" si="69"/>
        <v>1770.7365304</v>
      </c>
      <c r="L77" s="10">
        <f t="shared" si="69"/>
        <v>354.14730608000002</v>
      </c>
      <c r="M77" s="10">
        <f t="shared" si="69"/>
        <v>989.67192383999998</v>
      </c>
      <c r="N77" s="10">
        <f t="shared" si="69"/>
        <v>2367.4504844800003</v>
      </c>
      <c r="O77" s="10">
        <f t="shared" si="69"/>
        <v>460.87663119999996</v>
      </c>
      <c r="P77" s="10">
        <f t="shared" si="69"/>
        <v>77.621327360000009</v>
      </c>
      <c r="Q77" s="10">
        <f t="shared" si="69"/>
        <v>111.58065807999999</v>
      </c>
      <c r="R77" s="10">
        <f t="shared" si="69"/>
        <v>111.58065807999999</v>
      </c>
      <c r="S77" s="10">
        <f t="shared" si="69"/>
        <v>24.256664800000003</v>
      </c>
      <c r="T77" s="10">
        <f t="shared" si="69"/>
        <v>92.175326240000004</v>
      </c>
      <c r="U77" s="10">
        <f t="shared" si="69"/>
        <v>562.75462335999998</v>
      </c>
      <c r="V77" s="10">
        <f t="shared" si="69"/>
        <v>0</v>
      </c>
      <c r="W77" s="10">
        <f t="shared" si="69"/>
        <v>0</v>
      </c>
      <c r="X77" s="10">
        <f t="shared" si="69"/>
        <v>1697.9665360000004</v>
      </c>
      <c r="Y77" s="10">
        <f t="shared" si="69"/>
        <v>0</v>
      </c>
      <c r="Z77" s="10">
        <f t="shared" si="69"/>
        <v>0</v>
      </c>
      <c r="AA77" s="10">
        <f t="shared" si="69"/>
        <v>0</v>
      </c>
      <c r="AB77" s="10">
        <f t="shared" si="69"/>
        <v>3478.40573232</v>
      </c>
      <c r="AC77" s="10">
        <f t="shared" si="69"/>
        <v>0</v>
      </c>
      <c r="AD77" s="10">
        <f t="shared" si="69"/>
        <v>0</v>
      </c>
      <c r="AE77" s="10">
        <f t="shared" ref="AE77" si="70">SUM(AE72:AE76)</f>
        <v>0</v>
      </c>
      <c r="AF77" s="10">
        <f t="shared" si="69"/>
        <v>0</v>
      </c>
      <c r="AG77" s="10">
        <f t="shared" si="69"/>
        <v>3109.7044273600004</v>
      </c>
      <c r="AH77" s="10">
        <f t="shared" si="69"/>
        <v>1406.8865584</v>
      </c>
      <c r="AI77" s="10">
        <f t="shared" si="69"/>
        <v>0</v>
      </c>
      <c r="AJ77" s="89">
        <f t="shared" si="69"/>
        <v>0</v>
      </c>
      <c r="AK77" s="89">
        <f t="shared" si="69"/>
        <v>0</v>
      </c>
      <c r="AL77" s="89">
        <f t="shared" si="69"/>
        <v>0</v>
      </c>
      <c r="AM77" s="89">
        <f t="shared" si="69"/>
        <v>0</v>
      </c>
      <c r="AN77" s="89">
        <f t="shared" si="69"/>
        <v>0</v>
      </c>
      <c r="AO77" s="89">
        <f t="shared" si="69"/>
        <v>0</v>
      </c>
      <c r="AP77" s="89">
        <f t="shared" si="69"/>
        <v>0</v>
      </c>
      <c r="AQ77" s="10">
        <f t="shared" si="69"/>
        <v>281.37731167999999</v>
      </c>
      <c r="AR77" s="10">
        <f t="shared" si="69"/>
        <v>0</v>
      </c>
      <c r="AS77" s="89">
        <f t="shared" si="69"/>
        <v>0</v>
      </c>
      <c r="AT77" s="10">
        <f t="shared" si="69"/>
        <v>0</v>
      </c>
      <c r="AU77" s="89">
        <f t="shared" si="69"/>
        <v>0</v>
      </c>
      <c r="AV77" s="89">
        <f t="shared" si="69"/>
        <v>0</v>
      </c>
      <c r="AW77" s="10">
        <f t="shared" si="69"/>
        <v>815.02393728000004</v>
      </c>
      <c r="AX77" s="10">
        <f t="shared" si="69"/>
        <v>0</v>
      </c>
      <c r="AY77" s="89">
        <f t="shared" si="69"/>
        <v>0</v>
      </c>
      <c r="AZ77" s="10">
        <f t="shared" si="69"/>
        <v>2435.3691459200004</v>
      </c>
      <c r="BA77" s="10">
        <f t="shared" si="69"/>
        <v>194.05331840000002</v>
      </c>
      <c r="BB77" s="10">
        <f t="shared" si="69"/>
        <v>0</v>
      </c>
      <c r="BC77" s="89">
        <f t="shared" si="69"/>
        <v>0</v>
      </c>
      <c r="BD77" s="89">
        <f t="shared" si="69"/>
        <v>0</v>
      </c>
      <c r="BE77" s="89">
        <f t="shared" si="69"/>
        <v>0</v>
      </c>
      <c r="BF77" s="89">
        <f t="shared" si="69"/>
        <v>0</v>
      </c>
      <c r="BG77" s="10">
        <f t="shared" si="69"/>
        <v>0</v>
      </c>
      <c r="BH77" s="10">
        <f t="shared" si="69"/>
        <v>0</v>
      </c>
      <c r="BI77" s="10">
        <f t="shared" si="69"/>
        <v>0</v>
      </c>
      <c r="BJ77" s="10">
        <f t="shared" si="69"/>
        <v>0</v>
      </c>
      <c r="BK77" s="10">
        <f t="shared" si="69"/>
        <v>0</v>
      </c>
      <c r="BL77" s="10">
        <f t="shared" si="69"/>
        <v>0</v>
      </c>
      <c r="BM77" s="10">
        <f t="shared" si="69"/>
        <v>0</v>
      </c>
      <c r="BN77" s="10">
        <f t="shared" si="69"/>
        <v>0</v>
      </c>
      <c r="BO77" s="10">
        <f t="shared" ref="BO77:CB77" si="71">SUM(BO72:BO76)</f>
        <v>0</v>
      </c>
      <c r="BP77" s="10">
        <f t="shared" si="71"/>
        <v>0</v>
      </c>
      <c r="BQ77" s="10">
        <f t="shared" si="71"/>
        <v>0</v>
      </c>
      <c r="BR77" s="10">
        <f t="shared" si="71"/>
        <v>0</v>
      </c>
      <c r="BS77" s="10">
        <f t="shared" si="71"/>
        <v>0</v>
      </c>
      <c r="BT77" s="10">
        <f t="shared" si="71"/>
        <v>0</v>
      </c>
      <c r="BU77" s="10">
        <f t="shared" si="71"/>
        <v>0</v>
      </c>
      <c r="BV77" s="10">
        <f t="shared" si="71"/>
        <v>0</v>
      </c>
      <c r="BW77" s="10">
        <f t="shared" si="71"/>
        <v>0</v>
      </c>
      <c r="BX77" s="89">
        <f t="shared" si="71"/>
        <v>0</v>
      </c>
      <c r="BY77" s="89">
        <f t="shared" si="71"/>
        <v>0</v>
      </c>
      <c r="BZ77" s="89">
        <f t="shared" si="71"/>
        <v>0</v>
      </c>
      <c r="CA77" s="10">
        <f t="shared" si="71"/>
        <v>47601.279003520016</v>
      </c>
      <c r="CB77" s="10" t="e">
        <f t="shared" si="71"/>
        <v>#REF!</v>
      </c>
      <c r="CC77" s="114" t="e">
        <f t="shared" si="68"/>
        <v>#REF!</v>
      </c>
    </row>
    <row r="78" spans="1:81">
      <c r="A78" s="6" t="s">
        <v>155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87"/>
      <c r="AK78" s="87"/>
      <c r="AL78" s="87"/>
      <c r="AM78" s="87"/>
      <c r="AN78" s="87"/>
      <c r="AO78" s="87"/>
      <c r="AP78" s="87"/>
      <c r="AQ78" s="4"/>
      <c r="AR78" s="4"/>
      <c r="AS78" s="87"/>
      <c r="AT78" s="4"/>
      <c r="AU78" s="87"/>
      <c r="AV78" s="87"/>
      <c r="AW78" s="4"/>
      <c r="AX78" s="4"/>
      <c r="AY78" s="87"/>
      <c r="AZ78" s="4"/>
      <c r="BA78" s="4"/>
      <c r="BB78" s="4"/>
      <c r="BC78" s="87"/>
      <c r="BD78" s="87"/>
      <c r="BE78" s="87"/>
      <c r="BF78" s="87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87"/>
      <c r="BY78" s="87"/>
      <c r="BZ78" s="87"/>
      <c r="CA78" s="4"/>
      <c r="CC78" s="85"/>
    </row>
    <row r="79" spans="1:81">
      <c r="A79" s="78" t="s">
        <v>156</v>
      </c>
      <c r="B79" s="8">
        <v>0</v>
      </c>
      <c r="C79" s="8">
        <f>C212</f>
        <v>111.87860000000001</v>
      </c>
      <c r="D79" s="8">
        <f t="shared" ref="D79:BP81" si="72">D212</f>
        <v>0</v>
      </c>
      <c r="E79" s="8">
        <f t="shared" si="72"/>
        <v>0</v>
      </c>
      <c r="F79" s="8">
        <f t="shared" si="72"/>
        <v>0</v>
      </c>
      <c r="G79" s="8">
        <f t="shared" si="72"/>
        <v>0</v>
      </c>
      <c r="H79" s="8">
        <f t="shared" si="72"/>
        <v>0</v>
      </c>
      <c r="I79" s="8">
        <f t="shared" si="72"/>
        <v>0</v>
      </c>
      <c r="J79" s="8">
        <f t="shared" si="72"/>
        <v>0</v>
      </c>
      <c r="K79" s="8">
        <f t="shared" si="72"/>
        <v>0</v>
      </c>
      <c r="L79" s="8">
        <f t="shared" si="72"/>
        <v>0</v>
      </c>
      <c r="M79" s="8">
        <f t="shared" si="72"/>
        <v>0</v>
      </c>
      <c r="N79" s="8">
        <f t="shared" si="72"/>
        <v>0</v>
      </c>
      <c r="O79" s="8">
        <f t="shared" si="72"/>
        <v>0</v>
      </c>
      <c r="P79" s="8">
        <f t="shared" si="72"/>
        <v>0</v>
      </c>
      <c r="Q79" s="8">
        <f t="shared" si="72"/>
        <v>0</v>
      </c>
      <c r="R79" s="8">
        <f t="shared" si="72"/>
        <v>0</v>
      </c>
      <c r="S79" s="8">
        <f t="shared" si="72"/>
        <v>0</v>
      </c>
      <c r="T79" s="8">
        <f t="shared" si="72"/>
        <v>0</v>
      </c>
      <c r="U79" s="8">
        <f t="shared" si="72"/>
        <v>0</v>
      </c>
      <c r="V79" s="8">
        <f t="shared" si="72"/>
        <v>0</v>
      </c>
      <c r="W79" s="8">
        <f t="shared" si="72"/>
        <v>0</v>
      </c>
      <c r="X79" s="8">
        <f t="shared" si="72"/>
        <v>0</v>
      </c>
      <c r="Y79" s="8">
        <f t="shared" si="72"/>
        <v>0</v>
      </c>
      <c r="Z79" s="8">
        <f t="shared" si="72"/>
        <v>0</v>
      </c>
      <c r="AA79" s="8">
        <f t="shared" si="72"/>
        <v>0</v>
      </c>
      <c r="AB79" s="8">
        <f t="shared" si="72"/>
        <v>0</v>
      </c>
      <c r="AC79" s="8">
        <f t="shared" si="72"/>
        <v>0</v>
      </c>
      <c r="AD79" s="8">
        <f t="shared" si="72"/>
        <v>0</v>
      </c>
      <c r="AE79" s="8">
        <v>0</v>
      </c>
      <c r="AF79" s="8">
        <f t="shared" si="72"/>
        <v>0</v>
      </c>
      <c r="AG79" s="8">
        <f t="shared" si="72"/>
        <v>0</v>
      </c>
      <c r="AH79" s="8">
        <f t="shared" si="72"/>
        <v>0</v>
      </c>
      <c r="AI79" s="8">
        <f t="shared" si="72"/>
        <v>0</v>
      </c>
      <c r="AJ79" s="88">
        <f t="shared" si="72"/>
        <v>0</v>
      </c>
      <c r="AK79" s="88">
        <f t="shared" si="72"/>
        <v>0</v>
      </c>
      <c r="AL79" s="88">
        <f t="shared" si="72"/>
        <v>0</v>
      </c>
      <c r="AM79" s="88">
        <f t="shared" si="72"/>
        <v>0</v>
      </c>
      <c r="AN79" s="88">
        <f t="shared" si="72"/>
        <v>0</v>
      </c>
      <c r="AO79" s="88">
        <f t="shared" si="72"/>
        <v>0</v>
      </c>
      <c r="AP79" s="88">
        <f t="shared" si="72"/>
        <v>0</v>
      </c>
      <c r="AQ79" s="8">
        <f t="shared" si="72"/>
        <v>0</v>
      </c>
      <c r="AR79" s="8">
        <f t="shared" si="72"/>
        <v>0</v>
      </c>
      <c r="AS79" s="88">
        <f t="shared" si="72"/>
        <v>0</v>
      </c>
      <c r="AT79" s="8">
        <f t="shared" si="72"/>
        <v>0</v>
      </c>
      <c r="AU79" s="88">
        <f t="shared" si="72"/>
        <v>0</v>
      </c>
      <c r="AV79" s="88">
        <f t="shared" si="72"/>
        <v>0</v>
      </c>
      <c r="AW79" s="8">
        <f t="shared" si="72"/>
        <v>0</v>
      </c>
      <c r="AX79" s="8">
        <f t="shared" si="72"/>
        <v>0</v>
      </c>
      <c r="AY79" s="88">
        <f t="shared" si="72"/>
        <v>0</v>
      </c>
      <c r="AZ79" s="8">
        <f t="shared" si="72"/>
        <v>0</v>
      </c>
      <c r="BA79" s="8">
        <f t="shared" si="72"/>
        <v>0</v>
      </c>
      <c r="BB79" s="8">
        <f t="shared" si="72"/>
        <v>0</v>
      </c>
      <c r="BC79" s="88">
        <f t="shared" si="72"/>
        <v>0</v>
      </c>
      <c r="BD79" s="88">
        <f t="shared" si="72"/>
        <v>0</v>
      </c>
      <c r="BE79" s="88">
        <f t="shared" si="72"/>
        <v>0</v>
      </c>
      <c r="BF79" s="88">
        <f t="shared" si="72"/>
        <v>0</v>
      </c>
      <c r="BG79" s="8">
        <f t="shared" si="72"/>
        <v>0</v>
      </c>
      <c r="BH79" s="8">
        <f t="shared" si="72"/>
        <v>0</v>
      </c>
      <c r="BI79" s="8">
        <f t="shared" si="72"/>
        <v>0</v>
      </c>
      <c r="BJ79" s="8">
        <f t="shared" si="72"/>
        <v>0</v>
      </c>
      <c r="BK79" s="8">
        <f t="shared" si="72"/>
        <v>0</v>
      </c>
      <c r="BL79" s="8">
        <f t="shared" si="72"/>
        <v>0</v>
      </c>
      <c r="BM79" s="8">
        <f t="shared" si="72"/>
        <v>0</v>
      </c>
      <c r="BN79" s="8">
        <f t="shared" si="72"/>
        <v>0</v>
      </c>
      <c r="BO79" s="8">
        <f t="shared" si="72"/>
        <v>0</v>
      </c>
      <c r="BP79" s="8">
        <f t="shared" si="72"/>
        <v>0</v>
      </c>
      <c r="BQ79" s="8">
        <f t="shared" ref="BQ79:BZ81" si="73">BQ212</f>
        <v>0</v>
      </c>
      <c r="BR79" s="8">
        <f t="shared" si="73"/>
        <v>0</v>
      </c>
      <c r="BS79" s="8">
        <f t="shared" si="73"/>
        <v>0</v>
      </c>
      <c r="BT79" s="8">
        <f t="shared" si="73"/>
        <v>0</v>
      </c>
      <c r="BU79" s="8">
        <f t="shared" si="73"/>
        <v>0</v>
      </c>
      <c r="BV79" s="8">
        <f t="shared" si="73"/>
        <v>0</v>
      </c>
      <c r="BW79" s="8">
        <f t="shared" si="73"/>
        <v>0</v>
      </c>
      <c r="BX79" s="88">
        <f t="shared" si="73"/>
        <v>0</v>
      </c>
      <c r="BY79" s="88">
        <f t="shared" si="73"/>
        <v>0</v>
      </c>
      <c r="BZ79" s="88">
        <f t="shared" si="73"/>
        <v>0</v>
      </c>
      <c r="CA79" s="8">
        <f t="shared" ref="CA79:CA81" si="74">SUM(B79:BZ79)</f>
        <v>111.87860000000001</v>
      </c>
      <c r="CB79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79" s="85" t="e">
        <f t="shared" si="68"/>
        <v>#REF!</v>
      </c>
    </row>
    <row r="80" spans="1:81">
      <c r="A80" s="78" t="s">
        <v>157</v>
      </c>
      <c r="B80" s="8">
        <v>0</v>
      </c>
      <c r="C80" s="8">
        <f t="shared" ref="C80:R81" si="75">C213</f>
        <v>3079.2006577831908</v>
      </c>
      <c r="D80" s="8">
        <f t="shared" si="75"/>
        <v>49.756131951588181</v>
      </c>
      <c r="E80" s="8">
        <f t="shared" si="75"/>
        <v>474.16343816182945</v>
      </c>
      <c r="F80" s="8">
        <f t="shared" si="75"/>
        <v>0</v>
      </c>
      <c r="G80" s="8">
        <f t="shared" si="75"/>
        <v>887.49677053533583</v>
      </c>
      <c r="H80" s="8">
        <f t="shared" si="75"/>
        <v>0</v>
      </c>
      <c r="I80" s="8">
        <f t="shared" si="75"/>
        <v>1787.3393772490513</v>
      </c>
      <c r="J80" s="8">
        <f t="shared" si="75"/>
        <v>307.9003299833625</v>
      </c>
      <c r="K80" s="8">
        <f t="shared" si="75"/>
        <v>0</v>
      </c>
      <c r="L80" s="8">
        <f t="shared" si="75"/>
        <v>0</v>
      </c>
      <c r="M80" s="8">
        <f t="shared" si="75"/>
        <v>0</v>
      </c>
      <c r="N80" s="8">
        <f t="shared" si="75"/>
        <v>66.531557664662188</v>
      </c>
      <c r="O80" s="8">
        <f t="shared" si="75"/>
        <v>0</v>
      </c>
      <c r="P80" s="8">
        <f t="shared" si="75"/>
        <v>0</v>
      </c>
      <c r="Q80" s="8">
        <f t="shared" si="75"/>
        <v>0</v>
      </c>
      <c r="R80" s="8">
        <f t="shared" si="75"/>
        <v>0</v>
      </c>
      <c r="S80" s="8">
        <f t="shared" si="72"/>
        <v>0</v>
      </c>
      <c r="T80" s="8">
        <f t="shared" si="72"/>
        <v>0</v>
      </c>
      <c r="U80" s="8">
        <f t="shared" si="72"/>
        <v>0</v>
      </c>
      <c r="V80" s="8">
        <f t="shared" si="72"/>
        <v>0</v>
      </c>
      <c r="W80" s="8">
        <f t="shared" si="72"/>
        <v>0</v>
      </c>
      <c r="X80" s="8">
        <f t="shared" si="72"/>
        <v>0</v>
      </c>
      <c r="Y80" s="8">
        <f t="shared" si="72"/>
        <v>0</v>
      </c>
      <c r="Z80" s="8">
        <f t="shared" si="72"/>
        <v>62.496684029099292</v>
      </c>
      <c r="AA80" s="8">
        <f t="shared" si="72"/>
        <v>0</v>
      </c>
      <c r="AB80" s="8">
        <f t="shared" si="72"/>
        <v>0</v>
      </c>
      <c r="AC80" s="8">
        <f t="shared" si="72"/>
        <v>0</v>
      </c>
      <c r="AD80" s="8">
        <f t="shared" si="72"/>
        <v>0</v>
      </c>
      <c r="AE80" s="8">
        <v>0</v>
      </c>
      <c r="AF80" s="8">
        <f t="shared" si="72"/>
        <v>40.984667526451432</v>
      </c>
      <c r="AG80" s="8">
        <f t="shared" si="72"/>
        <v>8081.8738206935559</v>
      </c>
      <c r="AH80" s="8">
        <f t="shared" si="72"/>
        <v>4708.6317467187182</v>
      </c>
      <c r="AI80" s="8">
        <f t="shared" si="72"/>
        <v>0</v>
      </c>
      <c r="AJ80" s="88">
        <f t="shared" si="72"/>
        <v>0</v>
      </c>
      <c r="AK80" s="88">
        <f t="shared" si="72"/>
        <v>0</v>
      </c>
      <c r="AL80" s="88">
        <f t="shared" si="72"/>
        <v>0</v>
      </c>
      <c r="AM80" s="88">
        <f t="shared" si="72"/>
        <v>0</v>
      </c>
      <c r="AN80" s="88">
        <f t="shared" si="72"/>
        <v>0</v>
      </c>
      <c r="AO80" s="88">
        <f t="shared" si="72"/>
        <v>0</v>
      </c>
      <c r="AP80" s="88">
        <f t="shared" si="72"/>
        <v>0</v>
      </c>
      <c r="AQ80" s="8">
        <f t="shared" si="72"/>
        <v>0</v>
      </c>
      <c r="AR80" s="8">
        <f t="shared" si="72"/>
        <v>78.109890705842702</v>
      </c>
      <c r="AS80" s="88">
        <f t="shared" si="72"/>
        <v>0</v>
      </c>
      <c r="AT80" s="8">
        <f t="shared" si="72"/>
        <v>0</v>
      </c>
      <c r="AU80" s="88">
        <f t="shared" si="72"/>
        <v>0</v>
      </c>
      <c r="AV80" s="88">
        <f t="shared" si="72"/>
        <v>0</v>
      </c>
      <c r="AW80" s="8">
        <f t="shared" si="72"/>
        <v>481.15868104087605</v>
      </c>
      <c r="AX80" s="8">
        <f t="shared" si="72"/>
        <v>182.49031736496994</v>
      </c>
      <c r="AY80" s="88">
        <f t="shared" si="72"/>
        <v>0</v>
      </c>
      <c r="AZ80" s="8">
        <f t="shared" si="72"/>
        <v>0</v>
      </c>
      <c r="BA80" s="8">
        <f t="shared" si="72"/>
        <v>0</v>
      </c>
      <c r="BB80" s="8">
        <f t="shared" si="72"/>
        <v>3910.8451285914684</v>
      </c>
      <c r="BC80" s="88">
        <f t="shared" si="72"/>
        <v>0</v>
      </c>
      <c r="BD80" s="88">
        <f t="shared" si="72"/>
        <v>0</v>
      </c>
      <c r="BE80" s="88">
        <f t="shared" si="72"/>
        <v>0</v>
      </c>
      <c r="BF80" s="88">
        <f t="shared" si="72"/>
        <v>0</v>
      </c>
      <c r="BG80" s="8">
        <f t="shared" si="72"/>
        <v>0</v>
      </c>
      <c r="BH80" s="8">
        <f t="shared" si="72"/>
        <v>0</v>
      </c>
      <c r="BI80" s="8">
        <f t="shared" si="72"/>
        <v>0</v>
      </c>
      <c r="BJ80" s="8">
        <f t="shared" si="72"/>
        <v>0</v>
      </c>
      <c r="BK80" s="8">
        <f t="shared" si="72"/>
        <v>0</v>
      </c>
      <c r="BL80" s="8">
        <f t="shared" si="72"/>
        <v>0</v>
      </c>
      <c r="BM80" s="8">
        <f t="shared" si="72"/>
        <v>0</v>
      </c>
      <c r="BN80" s="8">
        <f t="shared" si="72"/>
        <v>0</v>
      </c>
      <c r="BO80" s="8">
        <f t="shared" si="72"/>
        <v>0</v>
      </c>
      <c r="BP80" s="8">
        <f t="shared" si="72"/>
        <v>0</v>
      </c>
      <c r="BQ80" s="8">
        <f t="shared" si="73"/>
        <v>0</v>
      </c>
      <c r="BR80" s="8">
        <f t="shared" si="73"/>
        <v>0</v>
      </c>
      <c r="BS80" s="8">
        <f t="shared" si="73"/>
        <v>0</v>
      </c>
      <c r="BT80" s="8">
        <f t="shared" si="73"/>
        <v>0</v>
      </c>
      <c r="BU80" s="8">
        <f t="shared" si="73"/>
        <v>0</v>
      </c>
      <c r="BV80" s="8">
        <f t="shared" si="73"/>
        <v>0</v>
      </c>
      <c r="BW80" s="8">
        <f t="shared" si="73"/>
        <v>0</v>
      </c>
      <c r="BX80" s="88">
        <f t="shared" si="73"/>
        <v>0</v>
      </c>
      <c r="BY80" s="88">
        <f t="shared" si="73"/>
        <v>0</v>
      </c>
      <c r="BZ80" s="88">
        <f t="shared" si="73"/>
        <v>0</v>
      </c>
      <c r="CA80" s="8">
        <f t="shared" si="74"/>
        <v>24198.979200000002</v>
      </c>
      <c r="CB80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80" s="85" t="e">
        <f t="shared" si="68"/>
        <v>#REF!</v>
      </c>
    </row>
    <row r="81" spans="1:82">
      <c r="A81" s="78" t="s">
        <v>158</v>
      </c>
      <c r="B81" s="8">
        <v>0</v>
      </c>
      <c r="C81" s="8">
        <f t="shared" si="75"/>
        <v>6469.7390000000005</v>
      </c>
      <c r="D81" s="8">
        <f t="shared" si="75"/>
        <v>0</v>
      </c>
      <c r="E81" s="8">
        <f t="shared" si="75"/>
        <v>0</v>
      </c>
      <c r="F81" s="8">
        <f t="shared" si="75"/>
        <v>0</v>
      </c>
      <c r="G81" s="8">
        <f t="shared" si="75"/>
        <v>0</v>
      </c>
      <c r="H81" s="8">
        <f t="shared" si="75"/>
        <v>0</v>
      </c>
      <c r="I81" s="8">
        <f t="shared" si="75"/>
        <v>0</v>
      </c>
      <c r="J81" s="8">
        <f t="shared" si="75"/>
        <v>0</v>
      </c>
      <c r="K81" s="8">
        <f t="shared" si="75"/>
        <v>352.26</v>
      </c>
      <c r="L81" s="8">
        <f t="shared" si="75"/>
        <v>0</v>
      </c>
      <c r="M81" s="8">
        <f t="shared" si="75"/>
        <v>0</v>
      </c>
      <c r="N81" s="8">
        <f t="shared" si="75"/>
        <v>0</v>
      </c>
      <c r="O81" s="8">
        <f t="shared" si="75"/>
        <v>0</v>
      </c>
      <c r="P81" s="8">
        <f t="shared" si="75"/>
        <v>0</v>
      </c>
      <c r="Q81" s="8">
        <f t="shared" si="75"/>
        <v>0</v>
      </c>
      <c r="R81" s="8">
        <f t="shared" si="75"/>
        <v>0</v>
      </c>
      <c r="S81" s="8">
        <f t="shared" si="72"/>
        <v>0</v>
      </c>
      <c r="T81" s="8">
        <f t="shared" si="72"/>
        <v>0</v>
      </c>
      <c r="U81" s="8">
        <f t="shared" si="72"/>
        <v>0</v>
      </c>
      <c r="V81" s="8">
        <f t="shared" si="72"/>
        <v>0</v>
      </c>
      <c r="W81" s="8">
        <f t="shared" si="72"/>
        <v>0</v>
      </c>
      <c r="X81" s="8">
        <f t="shared" si="72"/>
        <v>0</v>
      </c>
      <c r="Y81" s="8">
        <f t="shared" si="72"/>
        <v>0</v>
      </c>
      <c r="Z81" s="8">
        <f t="shared" si="72"/>
        <v>0</v>
      </c>
      <c r="AA81" s="8">
        <f t="shared" si="72"/>
        <v>0</v>
      </c>
      <c r="AB81" s="8">
        <f t="shared" si="72"/>
        <v>0</v>
      </c>
      <c r="AC81" s="8">
        <f t="shared" si="72"/>
        <v>0</v>
      </c>
      <c r="AD81" s="8">
        <f t="shared" si="72"/>
        <v>0</v>
      </c>
      <c r="AE81" s="8">
        <v>0</v>
      </c>
      <c r="AF81" s="8">
        <f t="shared" si="72"/>
        <v>0</v>
      </c>
      <c r="AG81" s="8">
        <f t="shared" si="72"/>
        <v>152.19280000000001</v>
      </c>
      <c r="AH81" s="8">
        <f t="shared" si="72"/>
        <v>512.81640000000004</v>
      </c>
      <c r="AI81" s="8">
        <f t="shared" si="72"/>
        <v>0</v>
      </c>
      <c r="AJ81" s="88">
        <f t="shared" si="72"/>
        <v>0</v>
      </c>
      <c r="AK81" s="88">
        <f t="shared" si="72"/>
        <v>0</v>
      </c>
      <c r="AL81" s="88">
        <f t="shared" si="72"/>
        <v>0</v>
      </c>
      <c r="AM81" s="88">
        <f t="shared" si="72"/>
        <v>0</v>
      </c>
      <c r="AN81" s="88">
        <f t="shared" si="72"/>
        <v>0</v>
      </c>
      <c r="AO81" s="88">
        <f t="shared" si="72"/>
        <v>0</v>
      </c>
      <c r="AP81" s="88">
        <f t="shared" si="72"/>
        <v>0</v>
      </c>
      <c r="AQ81" s="8">
        <f t="shared" si="72"/>
        <v>0</v>
      </c>
      <c r="AR81" s="8">
        <f t="shared" si="72"/>
        <v>0</v>
      </c>
      <c r="AS81" s="88">
        <f t="shared" si="72"/>
        <v>0</v>
      </c>
      <c r="AT81" s="8">
        <f t="shared" si="72"/>
        <v>0</v>
      </c>
      <c r="AU81" s="88">
        <f t="shared" si="72"/>
        <v>0</v>
      </c>
      <c r="AV81" s="88">
        <f t="shared" si="72"/>
        <v>0</v>
      </c>
      <c r="AW81" s="8">
        <f t="shared" si="72"/>
        <v>0</v>
      </c>
      <c r="AX81" s="8">
        <f t="shared" si="72"/>
        <v>0</v>
      </c>
      <c r="AY81" s="88">
        <f t="shared" si="72"/>
        <v>0</v>
      </c>
      <c r="AZ81" s="8">
        <f t="shared" si="72"/>
        <v>0</v>
      </c>
      <c r="BA81" s="8">
        <f t="shared" si="72"/>
        <v>0</v>
      </c>
      <c r="BB81" s="8">
        <f t="shared" si="72"/>
        <v>240.196</v>
      </c>
      <c r="BC81" s="88">
        <f t="shared" si="72"/>
        <v>0</v>
      </c>
      <c r="BD81" s="88">
        <f t="shared" si="72"/>
        <v>0</v>
      </c>
      <c r="BE81" s="88">
        <f t="shared" si="72"/>
        <v>0</v>
      </c>
      <c r="BF81" s="88">
        <f t="shared" si="72"/>
        <v>0</v>
      </c>
      <c r="BG81" s="8">
        <f t="shared" si="72"/>
        <v>0</v>
      </c>
      <c r="BH81" s="8">
        <f t="shared" si="72"/>
        <v>0</v>
      </c>
      <c r="BI81" s="8">
        <f t="shared" si="72"/>
        <v>0</v>
      </c>
      <c r="BJ81" s="8">
        <f t="shared" si="72"/>
        <v>0</v>
      </c>
      <c r="BK81" s="8">
        <f t="shared" si="72"/>
        <v>0</v>
      </c>
      <c r="BL81" s="8">
        <f t="shared" si="72"/>
        <v>0</v>
      </c>
      <c r="BM81" s="8">
        <f t="shared" si="72"/>
        <v>0</v>
      </c>
      <c r="BN81" s="8">
        <f t="shared" si="72"/>
        <v>0</v>
      </c>
      <c r="BO81" s="8">
        <f t="shared" si="72"/>
        <v>0</v>
      </c>
      <c r="BP81" s="8">
        <f t="shared" si="72"/>
        <v>0</v>
      </c>
      <c r="BQ81" s="8">
        <f t="shared" si="73"/>
        <v>0</v>
      </c>
      <c r="BR81" s="8">
        <f t="shared" si="73"/>
        <v>0</v>
      </c>
      <c r="BS81" s="8">
        <f t="shared" si="73"/>
        <v>0</v>
      </c>
      <c r="BT81" s="8">
        <f t="shared" si="73"/>
        <v>0</v>
      </c>
      <c r="BU81" s="8">
        <f t="shared" si="73"/>
        <v>0</v>
      </c>
      <c r="BV81" s="8">
        <f t="shared" si="73"/>
        <v>0</v>
      </c>
      <c r="BW81" s="8">
        <f t="shared" si="73"/>
        <v>0</v>
      </c>
      <c r="BX81" s="88">
        <f t="shared" si="73"/>
        <v>0</v>
      </c>
      <c r="BY81" s="88">
        <f t="shared" si="73"/>
        <v>0</v>
      </c>
      <c r="BZ81" s="88">
        <f t="shared" si="73"/>
        <v>0</v>
      </c>
      <c r="CA81" s="8">
        <f t="shared" si="74"/>
        <v>7727.2042000000001</v>
      </c>
      <c r="CB81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81" s="85" t="e">
        <f t="shared" si="68"/>
        <v>#REF!</v>
      </c>
    </row>
    <row r="82" spans="1:82">
      <c r="A82" s="9" t="s">
        <v>159</v>
      </c>
      <c r="B82" s="10">
        <f t="shared" ref="B82:BN82" si="76">SUM(B79:B81)</f>
        <v>0</v>
      </c>
      <c r="C82" s="10">
        <f t="shared" si="76"/>
        <v>9660.8182577831903</v>
      </c>
      <c r="D82" s="10">
        <f t="shared" si="76"/>
        <v>49.756131951588181</v>
      </c>
      <c r="E82" s="10">
        <f t="shared" si="76"/>
        <v>474.16343816182945</v>
      </c>
      <c r="F82" s="10">
        <f t="shared" si="76"/>
        <v>0</v>
      </c>
      <c r="G82" s="10">
        <f t="shared" si="76"/>
        <v>887.49677053533583</v>
      </c>
      <c r="H82" s="10">
        <f t="shared" si="76"/>
        <v>0</v>
      </c>
      <c r="I82" s="10">
        <f t="shared" si="76"/>
        <v>1787.3393772490513</v>
      </c>
      <c r="J82" s="10">
        <f t="shared" si="76"/>
        <v>307.9003299833625</v>
      </c>
      <c r="K82" s="10">
        <f t="shared" si="76"/>
        <v>352.26</v>
      </c>
      <c r="L82" s="10">
        <f t="shared" si="76"/>
        <v>0</v>
      </c>
      <c r="M82" s="10">
        <f t="shared" si="76"/>
        <v>0</v>
      </c>
      <c r="N82" s="10">
        <f t="shared" si="76"/>
        <v>66.531557664662188</v>
      </c>
      <c r="O82" s="10">
        <f t="shared" si="76"/>
        <v>0</v>
      </c>
      <c r="P82" s="10">
        <f t="shared" si="76"/>
        <v>0</v>
      </c>
      <c r="Q82" s="10">
        <f t="shared" si="76"/>
        <v>0</v>
      </c>
      <c r="R82" s="10">
        <f t="shared" si="76"/>
        <v>0</v>
      </c>
      <c r="S82" s="10">
        <f t="shared" si="76"/>
        <v>0</v>
      </c>
      <c r="T82" s="10">
        <f t="shared" si="76"/>
        <v>0</v>
      </c>
      <c r="U82" s="10">
        <f t="shared" si="76"/>
        <v>0</v>
      </c>
      <c r="V82" s="10">
        <f t="shared" si="76"/>
        <v>0</v>
      </c>
      <c r="W82" s="10">
        <f t="shared" si="76"/>
        <v>0</v>
      </c>
      <c r="X82" s="10">
        <f t="shared" si="76"/>
        <v>0</v>
      </c>
      <c r="Y82" s="10">
        <f t="shared" si="76"/>
        <v>0</v>
      </c>
      <c r="Z82" s="10">
        <f t="shared" si="76"/>
        <v>62.496684029099292</v>
      </c>
      <c r="AA82" s="10">
        <f t="shared" si="76"/>
        <v>0</v>
      </c>
      <c r="AB82" s="10">
        <f t="shared" si="76"/>
        <v>0</v>
      </c>
      <c r="AC82" s="10">
        <f t="shared" si="76"/>
        <v>0</v>
      </c>
      <c r="AD82" s="10">
        <f t="shared" si="76"/>
        <v>0</v>
      </c>
      <c r="AE82" s="10">
        <f>SUM(AE79:AE81)</f>
        <v>0</v>
      </c>
      <c r="AF82" s="10">
        <f t="shared" si="76"/>
        <v>40.984667526451432</v>
      </c>
      <c r="AG82" s="10">
        <f t="shared" si="76"/>
        <v>8234.0666206935566</v>
      </c>
      <c r="AH82" s="10">
        <f t="shared" si="76"/>
        <v>5221.4481467187179</v>
      </c>
      <c r="AI82" s="10">
        <f t="shared" si="76"/>
        <v>0</v>
      </c>
      <c r="AJ82" s="89">
        <f t="shared" si="76"/>
        <v>0</v>
      </c>
      <c r="AK82" s="89">
        <f t="shared" si="76"/>
        <v>0</v>
      </c>
      <c r="AL82" s="89">
        <f t="shared" si="76"/>
        <v>0</v>
      </c>
      <c r="AM82" s="89">
        <f t="shared" si="76"/>
        <v>0</v>
      </c>
      <c r="AN82" s="89">
        <f t="shared" si="76"/>
        <v>0</v>
      </c>
      <c r="AO82" s="89">
        <f t="shared" si="76"/>
        <v>0</v>
      </c>
      <c r="AP82" s="89">
        <f t="shared" si="76"/>
        <v>0</v>
      </c>
      <c r="AQ82" s="10">
        <f t="shared" si="76"/>
        <v>0</v>
      </c>
      <c r="AR82" s="10">
        <f t="shared" si="76"/>
        <v>78.109890705842702</v>
      </c>
      <c r="AS82" s="89">
        <f t="shared" si="76"/>
        <v>0</v>
      </c>
      <c r="AT82" s="10">
        <f t="shared" si="76"/>
        <v>0</v>
      </c>
      <c r="AU82" s="89">
        <f t="shared" si="76"/>
        <v>0</v>
      </c>
      <c r="AV82" s="89">
        <f t="shared" si="76"/>
        <v>0</v>
      </c>
      <c r="AW82" s="10">
        <f t="shared" si="76"/>
        <v>481.15868104087605</v>
      </c>
      <c r="AX82" s="10">
        <f t="shared" si="76"/>
        <v>182.49031736496994</v>
      </c>
      <c r="AY82" s="89">
        <f t="shared" si="76"/>
        <v>0</v>
      </c>
      <c r="AZ82" s="10">
        <f t="shared" si="76"/>
        <v>0</v>
      </c>
      <c r="BA82" s="10">
        <f t="shared" si="76"/>
        <v>0</v>
      </c>
      <c r="BB82" s="10">
        <f t="shared" si="76"/>
        <v>4151.0411285914688</v>
      </c>
      <c r="BC82" s="89">
        <f t="shared" si="76"/>
        <v>0</v>
      </c>
      <c r="BD82" s="89">
        <f t="shared" si="76"/>
        <v>0</v>
      </c>
      <c r="BE82" s="89">
        <f t="shared" si="76"/>
        <v>0</v>
      </c>
      <c r="BF82" s="89">
        <f t="shared" si="76"/>
        <v>0</v>
      </c>
      <c r="BG82" s="10">
        <f t="shared" si="76"/>
        <v>0</v>
      </c>
      <c r="BH82" s="10">
        <f t="shared" si="76"/>
        <v>0</v>
      </c>
      <c r="BI82" s="10">
        <f t="shared" si="76"/>
        <v>0</v>
      </c>
      <c r="BJ82" s="10">
        <f t="shared" si="76"/>
        <v>0</v>
      </c>
      <c r="BK82" s="10">
        <f t="shared" si="76"/>
        <v>0</v>
      </c>
      <c r="BL82" s="10">
        <f t="shared" si="76"/>
        <v>0</v>
      </c>
      <c r="BM82" s="10">
        <f t="shared" si="76"/>
        <v>0</v>
      </c>
      <c r="BN82" s="10">
        <f t="shared" si="76"/>
        <v>0</v>
      </c>
      <c r="BO82" s="10">
        <f t="shared" ref="BO82:CB82" si="77">SUM(BO79:BO81)</f>
        <v>0</v>
      </c>
      <c r="BP82" s="10">
        <f t="shared" si="77"/>
        <v>0</v>
      </c>
      <c r="BQ82" s="10">
        <f t="shared" si="77"/>
        <v>0</v>
      </c>
      <c r="BR82" s="10">
        <f t="shared" si="77"/>
        <v>0</v>
      </c>
      <c r="BS82" s="10">
        <f t="shared" si="77"/>
        <v>0</v>
      </c>
      <c r="BT82" s="10">
        <f t="shared" si="77"/>
        <v>0</v>
      </c>
      <c r="BU82" s="10">
        <f t="shared" si="77"/>
        <v>0</v>
      </c>
      <c r="BV82" s="10">
        <f t="shared" si="77"/>
        <v>0</v>
      </c>
      <c r="BW82" s="10">
        <f t="shared" si="77"/>
        <v>0</v>
      </c>
      <c r="BX82" s="89">
        <f t="shared" si="77"/>
        <v>0</v>
      </c>
      <c r="BY82" s="89">
        <f t="shared" si="77"/>
        <v>0</v>
      </c>
      <c r="BZ82" s="89">
        <f t="shared" si="77"/>
        <v>0</v>
      </c>
      <c r="CA82" s="10">
        <f t="shared" si="77"/>
        <v>32038.062000000002</v>
      </c>
      <c r="CB82" s="10" t="e">
        <f t="shared" si="77"/>
        <v>#REF!</v>
      </c>
      <c r="CC82" s="114" t="e">
        <f t="shared" si="68"/>
        <v>#REF!</v>
      </c>
    </row>
    <row r="83" spans="1:82">
      <c r="A83" s="6" t="s">
        <v>160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87"/>
      <c r="AK83" s="87"/>
      <c r="AL83" s="87"/>
      <c r="AM83" s="87"/>
      <c r="AN83" s="87"/>
      <c r="AO83" s="87"/>
      <c r="AP83" s="87"/>
      <c r="AQ83" s="4"/>
      <c r="AR83" s="4"/>
      <c r="AS83" s="87"/>
      <c r="AT83" s="4"/>
      <c r="AU83" s="87"/>
      <c r="AV83" s="87"/>
      <c r="AW83" s="4"/>
      <c r="AX83" s="4"/>
      <c r="AY83" s="87"/>
      <c r="AZ83" s="4"/>
      <c r="BA83" s="4"/>
      <c r="BB83" s="4"/>
      <c r="BC83" s="87"/>
      <c r="BD83" s="87"/>
      <c r="BE83" s="87"/>
      <c r="BF83" s="87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87"/>
      <c r="BY83" s="87"/>
      <c r="BZ83" s="87"/>
      <c r="CA83" s="4"/>
      <c r="CC83" s="85"/>
    </row>
    <row r="84" spans="1:82">
      <c r="A84" s="78" t="s">
        <v>161</v>
      </c>
      <c r="B84" s="8">
        <v>0</v>
      </c>
      <c r="C84" s="8" t="e">
        <f>(('June 2024 YTD'!C84*2)*1.05)+CB84</f>
        <v>#REF!</v>
      </c>
      <c r="D84" s="8">
        <f>('June 2024 YTD'!D84*2)*1.05</f>
        <v>0</v>
      </c>
      <c r="E84" s="8">
        <f>('June 2024 YTD'!E84*2)*1.05</f>
        <v>0</v>
      </c>
      <c r="F84" s="8">
        <f>('June 2024 YTD'!F84*2)*1.05</f>
        <v>0</v>
      </c>
      <c r="G84" s="8">
        <f>('June 2024 YTD'!G84*2)*1.05</f>
        <v>0</v>
      </c>
      <c r="H84" s="8">
        <f>('June 2024 YTD'!H84*2)*1.05</f>
        <v>0</v>
      </c>
      <c r="I84" s="8">
        <f>('June 2024 YTD'!I84*2)*1.05</f>
        <v>0</v>
      </c>
      <c r="J84" s="8">
        <f>('June 2024 YTD'!J84*2)*1.05</f>
        <v>0</v>
      </c>
      <c r="K84" s="8">
        <f>('June 2024 YTD'!K84*2)*1.05</f>
        <v>0</v>
      </c>
      <c r="L84" s="8">
        <f>('June 2024 YTD'!L84*2)*1.05</f>
        <v>0</v>
      </c>
      <c r="M84" s="8">
        <f>('June 2024 YTD'!M84*2)*1.05</f>
        <v>0</v>
      </c>
      <c r="N84" s="8">
        <f>('June 2024 YTD'!N84*2)*1.05</f>
        <v>0</v>
      </c>
      <c r="O84" s="8">
        <f>('June 2024 YTD'!O84*2)*1.05</f>
        <v>0</v>
      </c>
      <c r="P84" s="8">
        <f>('June 2024 YTD'!P84*2)*1.05</f>
        <v>0</v>
      </c>
      <c r="Q84" s="8">
        <f>('June 2024 YTD'!Q84*2)*1.05</f>
        <v>0</v>
      </c>
      <c r="R84" s="8">
        <f>('June 2024 YTD'!R84*2)*1.05</f>
        <v>0</v>
      </c>
      <c r="S84" s="8">
        <f>('June 2024 YTD'!S84*2)*1.05</f>
        <v>0</v>
      </c>
      <c r="T84" s="8">
        <f>('June 2024 YTD'!T84*2)*1.05</f>
        <v>0</v>
      </c>
      <c r="U84" s="8">
        <f>('June 2024 YTD'!U84*2)*1.05</f>
        <v>0</v>
      </c>
      <c r="V84" s="8">
        <f>('June 2024 YTD'!V84*2)*1.05</f>
        <v>0</v>
      </c>
      <c r="W84" s="8">
        <f>('June 2024 YTD'!W84*2)*1.05</f>
        <v>0</v>
      </c>
      <c r="X84" s="8">
        <f>('June 2024 YTD'!X84*2)*1.05</f>
        <v>0</v>
      </c>
      <c r="Y84" s="8">
        <f>('June 2024 YTD'!Y84*2)*1.05</f>
        <v>0</v>
      </c>
      <c r="Z84" s="8">
        <f>('June 2024 YTD'!Z84*2)*1.05</f>
        <v>0</v>
      </c>
      <c r="AA84" s="8">
        <f>('June 2024 YTD'!AA84*2)*1.05</f>
        <v>0</v>
      </c>
      <c r="AB84" s="8">
        <f>('June 2024 YTD'!AB84*2)*1.05</f>
        <v>0</v>
      </c>
      <c r="AC84" s="8">
        <f>('June 2024 YTD'!AC84*2)*1.05</f>
        <v>0</v>
      </c>
      <c r="AD84" s="8">
        <f>('June 2024 YTD'!AD84*2)*1.05</f>
        <v>0</v>
      </c>
      <c r="AE84" s="8">
        <v>0</v>
      </c>
      <c r="AF84" s="8">
        <f>('June 2024 YTD'!AE84*2)*1.05</f>
        <v>0</v>
      </c>
      <c r="AG84" s="8">
        <f>('June 2024 YTD'!AF84*2)*1.05</f>
        <v>0</v>
      </c>
      <c r="AH84" s="8">
        <f>('June 2024 YTD'!AG84*2)*1.05</f>
        <v>0</v>
      </c>
      <c r="AI84" s="8">
        <f>('June 2024 YTD'!AH84*2)*1.05</f>
        <v>0</v>
      </c>
      <c r="AJ84" s="88">
        <v>0</v>
      </c>
      <c r="AK84" s="88">
        <v>0</v>
      </c>
      <c r="AL84" s="88">
        <v>0</v>
      </c>
      <c r="AM84" s="88">
        <v>0</v>
      </c>
      <c r="AN84" s="88">
        <v>0</v>
      </c>
      <c r="AO84" s="88">
        <v>0</v>
      </c>
      <c r="AP84" s="88">
        <v>0</v>
      </c>
      <c r="AQ84" s="8">
        <f>('June 2024 YTD'!AP84*2)*1.05</f>
        <v>0</v>
      </c>
      <c r="AR84" s="8">
        <f>('June 2024 YTD'!AQ84*2)*1.05</f>
        <v>0</v>
      </c>
      <c r="AS84" s="88">
        <v>0</v>
      </c>
      <c r="AT84" s="8">
        <f>('June 2024 YTD'!AS84*2)*1.05</f>
        <v>0</v>
      </c>
      <c r="AU84" s="88">
        <v>0</v>
      </c>
      <c r="AV84" s="88">
        <v>0</v>
      </c>
      <c r="AW84" s="8">
        <f>('June 2024 YTD'!AV84*2)*1.05</f>
        <v>0</v>
      </c>
      <c r="AX84" s="8">
        <f>('June 2024 YTD'!AW84*2)*1.05</f>
        <v>0</v>
      </c>
      <c r="AY84" s="88">
        <v>0</v>
      </c>
      <c r="AZ84" s="8">
        <f>('June 2024 YTD'!AY84*2)*1.05</f>
        <v>0</v>
      </c>
      <c r="BA84" s="8">
        <f>('June 2024 YTD'!AZ84*2)*1.05</f>
        <v>0</v>
      </c>
      <c r="BB84" s="8">
        <f>('June 2024 YTD'!BA84*2)*1.05</f>
        <v>0</v>
      </c>
      <c r="BC84" s="88">
        <v>0</v>
      </c>
      <c r="BD84" s="88">
        <v>0</v>
      </c>
      <c r="BE84" s="88">
        <v>0</v>
      </c>
      <c r="BF84" s="88">
        <v>0</v>
      </c>
      <c r="BG84" s="8">
        <f>('June 2024 YTD'!BF84*2)*1.05</f>
        <v>0</v>
      </c>
      <c r="BH84" s="8">
        <f>('June 2024 YTD'!BG84*2)*1.05</f>
        <v>0</v>
      </c>
      <c r="BI84" s="8">
        <f>('June 2024 YTD'!BH84*2)*1.05</f>
        <v>0</v>
      </c>
      <c r="BJ84" s="8">
        <f>('June 2024 YTD'!BI84*2)*1.05</f>
        <v>0</v>
      </c>
      <c r="BK84" s="8">
        <f>('June 2024 YTD'!BJ84*2)*1.05</f>
        <v>0</v>
      </c>
      <c r="BL84" s="8">
        <f>('June 2024 YTD'!BK84*2)*1.05</f>
        <v>0</v>
      </c>
      <c r="BM84" s="8">
        <f>('June 2024 YTD'!BL84*2)*1.05</f>
        <v>0</v>
      </c>
      <c r="BN84" s="8">
        <f>('June 2024 YTD'!BM84*2)*1.05</f>
        <v>0</v>
      </c>
      <c r="BO84" s="8">
        <f>('June 2024 YTD'!BN84*2)*1.05</f>
        <v>0</v>
      </c>
      <c r="BP84" s="8">
        <f>('June 2024 YTD'!BO84*2)*1.05</f>
        <v>0</v>
      </c>
      <c r="BQ84" s="8">
        <f>('June 2024 YTD'!BP84*2)*1.05</f>
        <v>0</v>
      </c>
      <c r="BR84" s="8">
        <f>('June 2024 YTD'!BQ84*2)*1.05</f>
        <v>0</v>
      </c>
      <c r="BS84" s="8">
        <f>('June 2024 YTD'!BR84*2)*1.05</f>
        <v>0</v>
      </c>
      <c r="BT84" s="8">
        <f>('June 2024 YTD'!BS84*2)*1.05</f>
        <v>0</v>
      </c>
      <c r="BU84" s="8">
        <f>('June 2024 YTD'!BT84*2)*1.05</f>
        <v>0</v>
      </c>
      <c r="BV84" s="8">
        <f>('June 2024 YTD'!BU84*2)*1.05</f>
        <v>0</v>
      </c>
      <c r="BW84" s="8">
        <f>('June 2024 YTD'!BV84*2)*1.05</f>
        <v>0</v>
      </c>
      <c r="BX84" s="88">
        <v>0</v>
      </c>
      <c r="BY84" s="88">
        <v>0</v>
      </c>
      <c r="BZ84" s="88">
        <v>0</v>
      </c>
      <c r="CA84" s="8" t="e">
        <f t="shared" ref="CA84:CA85" si="78">SUM(B84:BZ84)</f>
        <v>#REF!</v>
      </c>
      <c r="CB84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84" s="85" t="e">
        <f t="shared" si="68"/>
        <v>#REF!</v>
      </c>
    </row>
    <row r="85" spans="1:82">
      <c r="A85" s="78" t="s">
        <v>162</v>
      </c>
      <c r="B85" s="8">
        <v>0</v>
      </c>
      <c r="C85" s="8" t="e">
        <f>(('June 2024 YTD'!C85*2)*1.05)+CB85</f>
        <v>#REF!</v>
      </c>
      <c r="D85" s="8">
        <f>('June 2024 YTD'!D85*2)*1.05</f>
        <v>31.5</v>
      </c>
      <c r="E85" s="8">
        <f>('June 2024 YTD'!E85*2)*1.05</f>
        <v>0</v>
      </c>
      <c r="F85" s="8">
        <f>('June 2024 YTD'!F85*2)*1.05</f>
        <v>0</v>
      </c>
      <c r="G85" s="8">
        <f>('June 2024 YTD'!G85*2)*1.05</f>
        <v>0</v>
      </c>
      <c r="H85" s="8">
        <f>('June 2024 YTD'!H85*2)*1.05</f>
        <v>0</v>
      </c>
      <c r="I85" s="8">
        <f>('June 2024 YTD'!I85*2)*1.05</f>
        <v>0</v>
      </c>
      <c r="J85" s="8">
        <f>('June 2024 YTD'!J85*2)*1.05</f>
        <v>0</v>
      </c>
      <c r="K85" s="8">
        <f>('June 2024 YTD'!K85*2)*1.05</f>
        <v>0</v>
      </c>
      <c r="L85" s="8">
        <f>('June 2024 YTD'!L85*2)*1.05</f>
        <v>0</v>
      </c>
      <c r="M85" s="8">
        <f>('June 2024 YTD'!M85*2)*1.05</f>
        <v>0</v>
      </c>
      <c r="N85" s="8">
        <f>('June 2024 YTD'!N85*2)*1.05</f>
        <v>0</v>
      </c>
      <c r="O85" s="8">
        <f>('June 2024 YTD'!O85*2)*1.05</f>
        <v>0</v>
      </c>
      <c r="P85" s="8">
        <f>('June 2024 YTD'!P85*2)*1.05</f>
        <v>0</v>
      </c>
      <c r="Q85" s="8">
        <f>('June 2024 YTD'!Q85*2)*1.05</f>
        <v>0</v>
      </c>
      <c r="R85" s="8">
        <f>('June 2024 YTD'!R85*2)*1.05</f>
        <v>0</v>
      </c>
      <c r="S85" s="8">
        <f>('June 2024 YTD'!S85*2)*1.05</f>
        <v>0</v>
      </c>
      <c r="T85" s="8">
        <f>('June 2024 YTD'!T85*2)*1.05</f>
        <v>0</v>
      </c>
      <c r="U85" s="8">
        <f>('June 2024 YTD'!U85*2)*1.05</f>
        <v>0</v>
      </c>
      <c r="V85" s="8">
        <f>('June 2024 YTD'!V85*2)*1.05</f>
        <v>0</v>
      </c>
      <c r="W85" s="8">
        <f>('June 2024 YTD'!W85*2)*1.05</f>
        <v>0</v>
      </c>
      <c r="X85" s="8">
        <f>('June 2024 YTD'!X85*2)*1.05</f>
        <v>0</v>
      </c>
      <c r="Y85" s="8">
        <f>('June 2024 YTD'!Y85*2)*1.05</f>
        <v>0</v>
      </c>
      <c r="Z85" s="8">
        <f>('June 2024 YTD'!Z85*2)*1.05</f>
        <v>0</v>
      </c>
      <c r="AA85" s="8">
        <f>('June 2024 YTD'!AA85*2)*1.05</f>
        <v>0</v>
      </c>
      <c r="AB85" s="8">
        <f>('June 2024 YTD'!AB85*2)*1.05</f>
        <v>0</v>
      </c>
      <c r="AC85" s="8">
        <f>('June 2024 YTD'!AC85*2)*1.05</f>
        <v>0</v>
      </c>
      <c r="AD85" s="8">
        <f>('June 2024 YTD'!AD85*2)*1.05</f>
        <v>0</v>
      </c>
      <c r="AE85" s="8">
        <v>0</v>
      </c>
      <c r="AF85" s="8">
        <f>('June 2024 YTD'!AE85*2)*1.05</f>
        <v>0</v>
      </c>
      <c r="AG85" s="8">
        <f>('June 2024 YTD'!AF85*2)*1.05</f>
        <v>0</v>
      </c>
      <c r="AH85" s="8">
        <f>('June 2024 YTD'!AG85*2)*1.05</f>
        <v>0</v>
      </c>
      <c r="AI85" s="8">
        <f>('June 2024 YTD'!AH85*2)*1.05</f>
        <v>0</v>
      </c>
      <c r="AJ85" s="88">
        <v>0</v>
      </c>
      <c r="AK85" s="88">
        <v>0</v>
      </c>
      <c r="AL85" s="88">
        <v>0</v>
      </c>
      <c r="AM85" s="88">
        <v>0</v>
      </c>
      <c r="AN85" s="88">
        <v>0</v>
      </c>
      <c r="AO85" s="88">
        <v>0</v>
      </c>
      <c r="AP85" s="88">
        <v>0</v>
      </c>
      <c r="AQ85" s="8">
        <f>('June 2024 YTD'!AP85*2)*1.05</f>
        <v>0</v>
      </c>
      <c r="AR85" s="8">
        <f>('June 2024 YTD'!AQ85*2)*1.05</f>
        <v>0</v>
      </c>
      <c r="AS85" s="88">
        <v>0</v>
      </c>
      <c r="AT85" s="8">
        <f>('June 2024 YTD'!AS85*2)*1.05</f>
        <v>0</v>
      </c>
      <c r="AU85" s="88">
        <v>0</v>
      </c>
      <c r="AV85" s="88">
        <v>0</v>
      </c>
      <c r="AW85" s="8">
        <f>('June 2024 YTD'!AV85*2)*1.05</f>
        <v>0</v>
      </c>
      <c r="AX85" s="8">
        <f>('June 2024 YTD'!AW85*2)*1.05</f>
        <v>0</v>
      </c>
      <c r="AY85" s="88">
        <v>0</v>
      </c>
      <c r="AZ85" s="8">
        <f>('June 2024 YTD'!AY85*2)*1.05</f>
        <v>0</v>
      </c>
      <c r="BA85" s="8">
        <f>('June 2024 YTD'!AZ85*2)*1.05</f>
        <v>0</v>
      </c>
      <c r="BB85" s="8">
        <f>('June 2024 YTD'!BA85*2)*1.05</f>
        <v>0</v>
      </c>
      <c r="BC85" s="88">
        <v>0</v>
      </c>
      <c r="BD85" s="88">
        <v>0</v>
      </c>
      <c r="BE85" s="88">
        <v>0</v>
      </c>
      <c r="BF85" s="88">
        <v>0</v>
      </c>
      <c r="BG85" s="8">
        <f>('June 2024 YTD'!BF85*2)*1.05</f>
        <v>0</v>
      </c>
      <c r="BH85" s="8">
        <f>('June 2024 YTD'!BG85*2)*1.05</f>
        <v>0</v>
      </c>
      <c r="BI85" s="8">
        <f>('June 2024 YTD'!BH85*2)*1.05</f>
        <v>0</v>
      </c>
      <c r="BJ85" s="8">
        <f>('June 2024 YTD'!BI85*2)*1.05</f>
        <v>0</v>
      </c>
      <c r="BK85" s="8">
        <f>('June 2024 YTD'!BJ85*2)*1.05</f>
        <v>0</v>
      </c>
      <c r="BL85" s="8">
        <f>('June 2024 YTD'!BK85*2)*1.05</f>
        <v>0</v>
      </c>
      <c r="BM85" s="8">
        <f>('June 2024 YTD'!BL85*2)*1.05</f>
        <v>0</v>
      </c>
      <c r="BN85" s="8">
        <f>('June 2024 YTD'!BM85*2)*1.05</f>
        <v>0</v>
      </c>
      <c r="BO85" s="8">
        <f>('June 2024 YTD'!BN85*2)*1.05</f>
        <v>0</v>
      </c>
      <c r="BP85" s="8">
        <f>('June 2024 YTD'!BO85*2)*1.05</f>
        <v>0</v>
      </c>
      <c r="BQ85" s="8">
        <f>('June 2024 YTD'!BP85*2)*1.05</f>
        <v>0</v>
      </c>
      <c r="BR85" s="8">
        <f>('June 2024 YTD'!BQ85*2)*1.05</f>
        <v>0</v>
      </c>
      <c r="BS85" s="8">
        <f>('June 2024 YTD'!BR85*2)*1.05</f>
        <v>0</v>
      </c>
      <c r="BT85" s="8">
        <f>('June 2024 YTD'!BS85*2)*1.05</f>
        <v>0</v>
      </c>
      <c r="BU85" s="8">
        <f>('June 2024 YTD'!BT85*2)*1.05</f>
        <v>0</v>
      </c>
      <c r="BV85" s="8">
        <f>('June 2024 YTD'!BU85*2)*1.05</f>
        <v>0</v>
      </c>
      <c r="BW85" s="8">
        <f>('June 2024 YTD'!BV85*2)*1.05</f>
        <v>0</v>
      </c>
      <c r="BX85" s="88">
        <v>0</v>
      </c>
      <c r="BY85" s="88">
        <v>0</v>
      </c>
      <c r="BZ85" s="88">
        <v>0</v>
      </c>
      <c r="CA85" s="8" t="e">
        <f t="shared" si="78"/>
        <v>#REF!</v>
      </c>
      <c r="CB85" s="83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85" s="85" t="e">
        <f t="shared" si="68"/>
        <v>#REF!</v>
      </c>
    </row>
    <row r="86" spans="1:82">
      <c r="A86" s="9" t="s">
        <v>163</v>
      </c>
      <c r="B86" s="10">
        <f t="shared" ref="B86:BN86" si="79">SUM(B84:B85)</f>
        <v>0</v>
      </c>
      <c r="C86" s="4" t="e">
        <f>SUM(C84:C85)</f>
        <v>#REF!</v>
      </c>
      <c r="D86" s="10">
        <f t="shared" si="79"/>
        <v>31.5</v>
      </c>
      <c r="E86" s="10">
        <f t="shared" si="79"/>
        <v>0</v>
      </c>
      <c r="F86" s="10">
        <f t="shared" si="79"/>
        <v>0</v>
      </c>
      <c r="G86" s="10">
        <f t="shared" si="79"/>
        <v>0</v>
      </c>
      <c r="H86" s="10">
        <f t="shared" si="79"/>
        <v>0</v>
      </c>
      <c r="I86" s="10">
        <f t="shared" si="79"/>
        <v>0</v>
      </c>
      <c r="J86" s="10">
        <f t="shared" si="79"/>
        <v>0</v>
      </c>
      <c r="K86" s="10">
        <f t="shared" si="79"/>
        <v>0</v>
      </c>
      <c r="L86" s="10">
        <f t="shared" si="79"/>
        <v>0</v>
      </c>
      <c r="M86" s="10">
        <f t="shared" si="79"/>
        <v>0</v>
      </c>
      <c r="N86" s="10">
        <f t="shared" si="79"/>
        <v>0</v>
      </c>
      <c r="O86" s="10">
        <f t="shared" si="79"/>
        <v>0</v>
      </c>
      <c r="P86" s="10">
        <f t="shared" si="79"/>
        <v>0</v>
      </c>
      <c r="Q86" s="10">
        <f t="shared" si="79"/>
        <v>0</v>
      </c>
      <c r="R86" s="10">
        <f t="shared" si="79"/>
        <v>0</v>
      </c>
      <c r="S86" s="10">
        <f t="shared" si="79"/>
        <v>0</v>
      </c>
      <c r="T86" s="10">
        <f t="shared" si="79"/>
        <v>0</v>
      </c>
      <c r="U86" s="10">
        <f t="shared" si="79"/>
        <v>0</v>
      </c>
      <c r="V86" s="10">
        <f t="shared" si="79"/>
        <v>0</v>
      </c>
      <c r="W86" s="10">
        <f t="shared" si="79"/>
        <v>0</v>
      </c>
      <c r="X86" s="10">
        <f t="shared" si="79"/>
        <v>0</v>
      </c>
      <c r="Y86" s="10">
        <f t="shared" si="79"/>
        <v>0</v>
      </c>
      <c r="Z86" s="10">
        <f t="shared" si="79"/>
        <v>0</v>
      </c>
      <c r="AA86" s="10">
        <f t="shared" si="79"/>
        <v>0</v>
      </c>
      <c r="AB86" s="10">
        <f t="shared" si="79"/>
        <v>0</v>
      </c>
      <c r="AC86" s="10">
        <f t="shared" si="79"/>
        <v>0</v>
      </c>
      <c r="AD86" s="10">
        <f t="shared" si="79"/>
        <v>0</v>
      </c>
      <c r="AE86" s="10">
        <f t="shared" ref="AE86" si="80">SUM(AE84:AE85)</f>
        <v>0</v>
      </c>
      <c r="AF86" s="10">
        <f t="shared" si="79"/>
        <v>0</v>
      </c>
      <c r="AG86" s="10">
        <f t="shared" si="79"/>
        <v>0</v>
      </c>
      <c r="AH86" s="10">
        <f t="shared" si="79"/>
        <v>0</v>
      </c>
      <c r="AI86" s="10">
        <f t="shared" si="79"/>
        <v>0</v>
      </c>
      <c r="AJ86" s="89">
        <f t="shared" si="79"/>
        <v>0</v>
      </c>
      <c r="AK86" s="89">
        <f t="shared" si="79"/>
        <v>0</v>
      </c>
      <c r="AL86" s="89">
        <f t="shared" si="79"/>
        <v>0</v>
      </c>
      <c r="AM86" s="89">
        <f t="shared" si="79"/>
        <v>0</v>
      </c>
      <c r="AN86" s="89">
        <f t="shared" si="79"/>
        <v>0</v>
      </c>
      <c r="AO86" s="89">
        <f t="shared" si="79"/>
        <v>0</v>
      </c>
      <c r="AP86" s="89">
        <f t="shared" si="79"/>
        <v>0</v>
      </c>
      <c r="AQ86" s="10">
        <f t="shared" si="79"/>
        <v>0</v>
      </c>
      <c r="AR86" s="10">
        <f t="shared" si="79"/>
        <v>0</v>
      </c>
      <c r="AS86" s="89">
        <f t="shared" si="79"/>
        <v>0</v>
      </c>
      <c r="AT86" s="10">
        <f t="shared" si="79"/>
        <v>0</v>
      </c>
      <c r="AU86" s="89">
        <f t="shared" si="79"/>
        <v>0</v>
      </c>
      <c r="AV86" s="89">
        <f t="shared" si="79"/>
        <v>0</v>
      </c>
      <c r="AW86" s="10">
        <f t="shared" si="79"/>
        <v>0</v>
      </c>
      <c r="AX86" s="10">
        <f t="shared" si="79"/>
        <v>0</v>
      </c>
      <c r="AY86" s="89">
        <f t="shared" si="79"/>
        <v>0</v>
      </c>
      <c r="AZ86" s="10">
        <f t="shared" si="79"/>
        <v>0</v>
      </c>
      <c r="BA86" s="10">
        <f t="shared" si="79"/>
        <v>0</v>
      </c>
      <c r="BB86" s="10">
        <f t="shared" si="79"/>
        <v>0</v>
      </c>
      <c r="BC86" s="89">
        <f t="shared" si="79"/>
        <v>0</v>
      </c>
      <c r="BD86" s="89">
        <f t="shared" si="79"/>
        <v>0</v>
      </c>
      <c r="BE86" s="89">
        <f t="shared" si="79"/>
        <v>0</v>
      </c>
      <c r="BF86" s="89">
        <f t="shared" si="79"/>
        <v>0</v>
      </c>
      <c r="BG86" s="10">
        <f t="shared" si="79"/>
        <v>0</v>
      </c>
      <c r="BH86" s="10">
        <f t="shared" si="79"/>
        <v>0</v>
      </c>
      <c r="BI86" s="10">
        <f t="shared" si="79"/>
        <v>0</v>
      </c>
      <c r="BJ86" s="10">
        <f t="shared" si="79"/>
        <v>0</v>
      </c>
      <c r="BK86" s="10">
        <f t="shared" si="79"/>
        <v>0</v>
      </c>
      <c r="BL86" s="10">
        <f t="shared" si="79"/>
        <v>0</v>
      </c>
      <c r="BM86" s="10">
        <f t="shared" si="79"/>
        <v>0</v>
      </c>
      <c r="BN86" s="10">
        <f t="shared" si="79"/>
        <v>0</v>
      </c>
      <c r="BO86" s="10">
        <f t="shared" ref="BO86:CB86" si="81">SUM(BO84:BO85)</f>
        <v>0</v>
      </c>
      <c r="BP86" s="10">
        <f t="shared" si="81"/>
        <v>0</v>
      </c>
      <c r="BQ86" s="10">
        <f t="shared" si="81"/>
        <v>0</v>
      </c>
      <c r="BR86" s="10">
        <f t="shared" si="81"/>
        <v>0</v>
      </c>
      <c r="BS86" s="10">
        <f t="shared" si="81"/>
        <v>0</v>
      </c>
      <c r="BT86" s="10">
        <f t="shared" si="81"/>
        <v>0</v>
      </c>
      <c r="BU86" s="10">
        <f t="shared" si="81"/>
        <v>0</v>
      </c>
      <c r="BV86" s="10">
        <f t="shared" si="81"/>
        <v>0</v>
      </c>
      <c r="BW86" s="10">
        <f t="shared" si="81"/>
        <v>0</v>
      </c>
      <c r="BX86" s="89">
        <f t="shared" si="81"/>
        <v>0</v>
      </c>
      <c r="BY86" s="89">
        <f t="shared" si="81"/>
        <v>0</v>
      </c>
      <c r="BZ86" s="89">
        <f t="shared" si="81"/>
        <v>0</v>
      </c>
      <c r="CA86" s="10" t="e">
        <f t="shared" si="81"/>
        <v>#REF!</v>
      </c>
      <c r="CB86" s="10" t="e">
        <f t="shared" si="81"/>
        <v>#REF!</v>
      </c>
      <c r="CC86" s="114" t="e">
        <f t="shared" si="68"/>
        <v>#REF!</v>
      </c>
    </row>
    <row r="87" spans="1:82">
      <c r="A87" s="22" t="s">
        <v>164</v>
      </c>
      <c r="B87" s="8">
        <v>0</v>
      </c>
      <c r="C87" s="8">
        <f>C219</f>
        <v>20490.652443189116</v>
      </c>
      <c r="D87" s="8">
        <f t="shared" ref="D87:BP87" si="82">D219</f>
        <v>1595.2234267536141</v>
      </c>
      <c r="E87" s="8">
        <f t="shared" si="82"/>
        <v>161.47076219289386</v>
      </c>
      <c r="F87" s="8">
        <f t="shared" si="82"/>
        <v>322.58109857732143</v>
      </c>
      <c r="G87" s="8">
        <f t="shared" si="82"/>
        <v>27.773988770048707</v>
      </c>
      <c r="H87" s="8">
        <f t="shared" si="82"/>
        <v>747.2263055050355</v>
      </c>
      <c r="I87" s="8">
        <f t="shared" si="82"/>
        <v>687.120001563747</v>
      </c>
      <c r="J87" s="8">
        <f t="shared" si="82"/>
        <v>1956.3064822823926</v>
      </c>
      <c r="K87" s="8">
        <f t="shared" si="82"/>
        <v>216.61591088823482</v>
      </c>
      <c r="L87" s="8">
        <f t="shared" si="82"/>
        <v>80.862590205317375</v>
      </c>
      <c r="M87" s="8">
        <f t="shared" si="82"/>
        <v>209.59820838221489</v>
      </c>
      <c r="N87" s="8">
        <f t="shared" si="82"/>
        <v>564.93565249367771</v>
      </c>
      <c r="O87" s="8">
        <f t="shared" si="82"/>
        <v>77.830773110571613</v>
      </c>
      <c r="P87" s="8">
        <f t="shared" si="82"/>
        <v>0</v>
      </c>
      <c r="Q87" s="8">
        <f t="shared" si="82"/>
        <v>0</v>
      </c>
      <c r="R87" s="8">
        <f t="shared" si="82"/>
        <v>0</v>
      </c>
      <c r="S87" s="8">
        <f t="shared" si="82"/>
        <v>4.727938546351802</v>
      </c>
      <c r="T87" s="8">
        <f t="shared" si="82"/>
        <v>0</v>
      </c>
      <c r="U87" s="8">
        <f t="shared" si="82"/>
        <v>192.44618020284892</v>
      </c>
      <c r="V87" s="8">
        <f t="shared" si="82"/>
        <v>0</v>
      </c>
      <c r="W87" s="8">
        <f t="shared" si="82"/>
        <v>0</v>
      </c>
      <c r="X87" s="8">
        <f t="shared" si="82"/>
        <v>351.01233440986749</v>
      </c>
      <c r="Y87" s="8">
        <f t="shared" si="82"/>
        <v>0</v>
      </c>
      <c r="Z87" s="8">
        <f t="shared" si="82"/>
        <v>139.2515711768549</v>
      </c>
      <c r="AA87" s="8">
        <f t="shared" si="82"/>
        <v>84.70006498957602</v>
      </c>
      <c r="AB87" s="8">
        <f t="shared" si="82"/>
        <v>6387.7417973753163</v>
      </c>
      <c r="AC87" s="8">
        <f t="shared" si="82"/>
        <v>0</v>
      </c>
      <c r="AD87" s="8">
        <f t="shared" si="82"/>
        <v>0</v>
      </c>
      <c r="AE87" s="8">
        <v>0</v>
      </c>
      <c r="AF87" s="8">
        <f t="shared" si="82"/>
        <v>0</v>
      </c>
      <c r="AG87" s="8">
        <f t="shared" si="82"/>
        <v>4971.1835640302515</v>
      </c>
      <c r="AH87" s="8">
        <f t="shared" si="82"/>
        <v>428.03744983092616</v>
      </c>
      <c r="AI87" s="8">
        <f t="shared" si="82"/>
        <v>0</v>
      </c>
      <c r="AJ87" s="88">
        <f t="shared" si="82"/>
        <v>0</v>
      </c>
      <c r="AK87" s="88">
        <f t="shared" si="82"/>
        <v>0</v>
      </c>
      <c r="AL87" s="88">
        <f t="shared" si="82"/>
        <v>0</v>
      </c>
      <c r="AM87" s="88">
        <f t="shared" si="82"/>
        <v>0</v>
      </c>
      <c r="AN87" s="88">
        <f t="shared" si="82"/>
        <v>0</v>
      </c>
      <c r="AO87" s="88">
        <f t="shared" si="82"/>
        <v>0</v>
      </c>
      <c r="AP87" s="88">
        <f t="shared" si="82"/>
        <v>0</v>
      </c>
      <c r="AQ87" s="8">
        <f t="shared" si="82"/>
        <v>0</v>
      </c>
      <c r="AR87" s="8">
        <f t="shared" si="82"/>
        <v>0</v>
      </c>
      <c r="AS87" s="88">
        <f t="shared" si="82"/>
        <v>0</v>
      </c>
      <c r="AT87" s="8">
        <f t="shared" si="82"/>
        <v>0</v>
      </c>
      <c r="AU87" s="88">
        <f t="shared" si="82"/>
        <v>0</v>
      </c>
      <c r="AV87" s="88">
        <f t="shared" si="82"/>
        <v>0</v>
      </c>
      <c r="AW87" s="8">
        <f t="shared" si="82"/>
        <v>14.713853592682293</v>
      </c>
      <c r="AX87" s="8">
        <f t="shared" si="82"/>
        <v>83.639989082322259</v>
      </c>
      <c r="AY87" s="88">
        <f t="shared" si="82"/>
        <v>0</v>
      </c>
      <c r="AZ87" s="8">
        <f t="shared" si="82"/>
        <v>0</v>
      </c>
      <c r="BA87" s="8">
        <f t="shared" si="82"/>
        <v>0</v>
      </c>
      <c r="BB87" s="8">
        <f t="shared" si="82"/>
        <v>2868.947032355306</v>
      </c>
      <c r="BC87" s="88">
        <f t="shared" si="82"/>
        <v>0</v>
      </c>
      <c r="BD87" s="88">
        <f t="shared" si="82"/>
        <v>0</v>
      </c>
      <c r="BE87" s="88">
        <f t="shared" si="82"/>
        <v>0</v>
      </c>
      <c r="BF87" s="88">
        <f t="shared" si="82"/>
        <v>0</v>
      </c>
      <c r="BG87" s="8">
        <f>0</f>
        <v>0</v>
      </c>
      <c r="BH87" s="8">
        <f t="shared" si="82"/>
        <v>0</v>
      </c>
      <c r="BI87" s="8">
        <f t="shared" si="82"/>
        <v>0</v>
      </c>
      <c r="BJ87" s="8">
        <f t="shared" si="82"/>
        <v>0</v>
      </c>
      <c r="BK87" s="8">
        <f t="shared" si="82"/>
        <v>0</v>
      </c>
      <c r="BL87" s="8">
        <f t="shared" si="82"/>
        <v>0</v>
      </c>
      <c r="BM87" s="8">
        <f t="shared" si="82"/>
        <v>0</v>
      </c>
      <c r="BN87" s="8">
        <f t="shared" si="82"/>
        <v>0</v>
      </c>
      <c r="BO87" s="8">
        <f t="shared" si="82"/>
        <v>0</v>
      </c>
      <c r="BP87" s="8">
        <f t="shared" si="82"/>
        <v>0</v>
      </c>
      <c r="BQ87" s="8">
        <f t="shared" ref="BQ87:BZ87" si="83">BQ219</f>
        <v>0</v>
      </c>
      <c r="BR87" s="8">
        <f t="shared" si="83"/>
        <v>0</v>
      </c>
      <c r="BS87" s="8">
        <f t="shared" si="83"/>
        <v>0</v>
      </c>
      <c r="BT87" s="8">
        <f t="shared" si="83"/>
        <v>0</v>
      </c>
      <c r="BU87" s="8">
        <f t="shared" si="83"/>
        <v>0</v>
      </c>
      <c r="BV87" s="8">
        <f t="shared" si="83"/>
        <v>0</v>
      </c>
      <c r="BW87" s="8">
        <f t="shared" si="83"/>
        <v>0</v>
      </c>
      <c r="BX87" s="88">
        <f t="shared" si="83"/>
        <v>0</v>
      </c>
      <c r="BY87" s="88">
        <f t="shared" si="83"/>
        <v>0</v>
      </c>
      <c r="BZ87" s="88">
        <f t="shared" si="83"/>
        <v>0</v>
      </c>
      <c r="CA87" s="4">
        <f t="shared" ref="CA87" si="84">SUM(B87:BZ87)</f>
        <v>42664.599419506485</v>
      </c>
      <c r="CB87" s="109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87" s="114" t="e">
        <f t="shared" si="68"/>
        <v>#REF!</v>
      </c>
    </row>
    <row r="88" spans="1:82">
      <c r="A88" s="6" t="s">
        <v>165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87"/>
      <c r="AK88" s="87"/>
      <c r="AL88" s="87"/>
      <c r="AM88" s="87"/>
      <c r="AN88" s="87"/>
      <c r="AO88" s="87"/>
      <c r="AP88" s="87"/>
      <c r="AQ88" s="4"/>
      <c r="AR88" s="4"/>
      <c r="AS88" s="87"/>
      <c r="AT88" s="4"/>
      <c r="AU88" s="87"/>
      <c r="AV88" s="87"/>
      <c r="AW88" s="4"/>
      <c r="AX88" s="4"/>
      <c r="AY88" s="87"/>
      <c r="AZ88" s="4"/>
      <c r="BA88" s="4"/>
      <c r="BB88" s="4"/>
      <c r="BC88" s="87"/>
      <c r="BD88" s="87"/>
      <c r="BE88" s="87"/>
      <c r="BF88" s="87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87"/>
      <c r="BY88" s="87"/>
      <c r="BZ88" s="87"/>
      <c r="CA88" s="4"/>
      <c r="CC88" s="85"/>
    </row>
    <row r="89" spans="1:82">
      <c r="A89" s="78" t="s">
        <v>166</v>
      </c>
      <c r="B89" s="8">
        <v>0</v>
      </c>
      <c r="C89" s="8">
        <f>'June 2024 YTD'!C174*2</f>
        <v>9395.8906792516264</v>
      </c>
      <c r="D89" s="8">
        <f>'June 2024 YTD'!D174*2</f>
        <v>9367.5151599532401</v>
      </c>
      <c r="E89" s="8">
        <f>'June 2024 YTD'!E174*2</f>
        <v>3.2630744803107756</v>
      </c>
      <c r="F89" s="8">
        <f>'June 2024 YTD'!F174*2</f>
        <v>1619.5542605604626</v>
      </c>
      <c r="G89" s="8">
        <f>'June 2024 YTD'!G174*2</f>
        <v>480.15700021762211</v>
      </c>
      <c r="H89" s="8">
        <f>'June 2024 YTD'!H174*2</f>
        <v>4985.6801606075378</v>
      </c>
      <c r="I89" s="8">
        <f>'June 2024 YTD'!I174*2</f>
        <v>2800.2139796188553</v>
      </c>
      <c r="J89" s="8">
        <f>'June 2024 YTD'!J174*2</f>
        <v>5722.1538660336264</v>
      </c>
      <c r="K89" s="8">
        <f>'June 2024 YTD'!K174*2</f>
        <v>1409.2733628850306</v>
      </c>
      <c r="L89" s="8">
        <f>'June 2024 YTD'!L174*2</f>
        <v>49.50833611849896</v>
      </c>
      <c r="M89" s="8">
        <f>'June 2024 YTD'!M174*2</f>
        <v>1354.3522917333125</v>
      </c>
      <c r="N89" s="8">
        <f>'June 2024 YTD'!N174*2</f>
        <v>2715.6386167372857</v>
      </c>
      <c r="O89" s="8">
        <f>'June 2024 YTD'!O174*2</f>
        <v>16.745304512135363</v>
      </c>
      <c r="P89" s="8">
        <f>'June 2024 YTD'!P174*2</f>
        <v>0</v>
      </c>
      <c r="Q89" s="8">
        <f>'June 2024 YTD'!Q174*2</f>
        <v>0</v>
      </c>
      <c r="R89" s="8">
        <f>'June 2024 YTD'!R174*2</f>
        <v>0</v>
      </c>
      <c r="S89" s="8">
        <f>'June 2024 YTD'!S174*2</f>
        <v>1.0913661268606984</v>
      </c>
      <c r="T89" s="8">
        <f>'June 2024 YTD'!T174*2</f>
        <v>0</v>
      </c>
      <c r="U89" s="8">
        <f>'June 2024 YTD'!U174*2</f>
        <v>36.533205499155095</v>
      </c>
      <c r="V89" s="8">
        <f>'June 2024 YTD'!V174*2</f>
        <v>0</v>
      </c>
      <c r="W89" s="8">
        <f>'June 2024 YTD'!W174*2</f>
        <v>0</v>
      </c>
      <c r="X89" s="8">
        <f>'June 2024 YTD'!X174*2</f>
        <v>903.46374673604555</v>
      </c>
      <c r="Y89" s="8">
        <f>'June 2024 YTD'!Y174*2</f>
        <v>0</v>
      </c>
      <c r="Z89" s="8">
        <f>'June 2024 YTD'!Z174*2</f>
        <v>171.73031842662587</v>
      </c>
      <c r="AA89" s="8">
        <f>'June 2024 YTD'!AA174*2</f>
        <v>59.143224955632789</v>
      </c>
      <c r="AB89" s="8">
        <f>'June 2024 YTD'!AB174*2</f>
        <v>3268.7187172496915</v>
      </c>
      <c r="AC89" s="8">
        <f>'June 2024 YTD'!AC174*2</f>
        <v>0</v>
      </c>
      <c r="AD89" s="8">
        <f>'June 2024 YTD'!AD174*2</f>
        <v>0</v>
      </c>
      <c r="AE89" s="8">
        <v>0</v>
      </c>
      <c r="AF89" s="8">
        <f>'June 2024 YTD'!AE174*2</f>
        <v>0</v>
      </c>
      <c r="AG89" s="8">
        <f>'June 2024 YTD'!AF174*2</f>
        <v>5471.7900669716746</v>
      </c>
      <c r="AH89" s="8">
        <f>'June 2024 YTD'!AG174*2</f>
        <v>3996.3733024587236</v>
      </c>
      <c r="AI89" s="8">
        <f>'June 2024 YTD'!AH174*2</f>
        <v>0</v>
      </c>
      <c r="AJ89" s="88">
        <v>0</v>
      </c>
      <c r="AK89" s="88">
        <v>0</v>
      </c>
      <c r="AL89" s="88">
        <v>0</v>
      </c>
      <c r="AM89" s="88">
        <v>0</v>
      </c>
      <c r="AN89" s="88">
        <v>0</v>
      </c>
      <c r="AO89" s="88">
        <v>0</v>
      </c>
      <c r="AP89" s="88">
        <v>0</v>
      </c>
      <c r="AQ89" s="8">
        <f>'June 2024 YTD'!AP174*2</f>
        <v>0</v>
      </c>
      <c r="AR89" s="8">
        <f>'June 2024 YTD'!AQ174*2</f>
        <v>0</v>
      </c>
      <c r="AS89" s="88">
        <v>0</v>
      </c>
      <c r="AT89" s="8">
        <f>'June 2024 YTD'!AS174*2</f>
        <v>0</v>
      </c>
      <c r="AU89" s="88">
        <v>0</v>
      </c>
      <c r="AV89" s="88">
        <v>0</v>
      </c>
      <c r="AW89" s="8">
        <f>'June 2024 YTD'!AV174*2</f>
        <v>0</v>
      </c>
      <c r="AX89" s="8">
        <f>'June 2024 YTD'!AW174*2</f>
        <v>0</v>
      </c>
      <c r="AY89" s="88">
        <v>0</v>
      </c>
      <c r="AZ89" s="8">
        <f>'June 2024 YTD'!AY174*2</f>
        <v>0</v>
      </c>
      <c r="BA89" s="8">
        <f>'June 2024 YTD'!AZ174*2</f>
        <v>1322.8680325584223</v>
      </c>
      <c r="BB89" s="8">
        <f>'June 2024 YTD'!BA174*2</f>
        <v>0</v>
      </c>
      <c r="BC89" s="88">
        <v>0</v>
      </c>
      <c r="BD89" s="88">
        <v>0</v>
      </c>
      <c r="BE89" s="88">
        <v>0</v>
      </c>
      <c r="BF89" s="88">
        <v>0</v>
      </c>
      <c r="BG89" s="8">
        <f>0</f>
        <v>0</v>
      </c>
      <c r="BH89" s="8">
        <f>'June 2024 YTD'!BG174*2</f>
        <v>0</v>
      </c>
      <c r="BI89" s="8">
        <f>'June 2024 YTD'!BH174*2</f>
        <v>0</v>
      </c>
      <c r="BJ89" s="8">
        <f>'June 2024 YTD'!BI174*2</f>
        <v>0</v>
      </c>
      <c r="BK89" s="8">
        <f>'June 2024 YTD'!BJ174*2</f>
        <v>0</v>
      </c>
      <c r="BL89" s="8">
        <f>'June 2024 YTD'!BK174*2</f>
        <v>0</v>
      </c>
      <c r="BM89" s="8">
        <f>'June 2024 YTD'!BL174*2</f>
        <v>0</v>
      </c>
      <c r="BN89" s="8">
        <f>'June 2024 YTD'!BM174*2</f>
        <v>0</v>
      </c>
      <c r="BO89" s="8">
        <f>'June 2024 YTD'!BN174*2</f>
        <v>0</v>
      </c>
      <c r="BP89" s="8">
        <f>'June 2024 YTD'!BO174*2</f>
        <v>0</v>
      </c>
      <c r="BQ89" s="8">
        <f>'June 2024 YTD'!BP174*2</f>
        <v>0</v>
      </c>
      <c r="BR89" s="8">
        <f>'June 2024 YTD'!BQ174*2</f>
        <v>0</v>
      </c>
      <c r="BS89" s="8">
        <f>'June 2024 YTD'!BR174*2</f>
        <v>0</v>
      </c>
      <c r="BT89" s="8">
        <f>'June 2024 YTD'!BS174*2</f>
        <v>0</v>
      </c>
      <c r="BU89" s="8">
        <f>'June 2024 YTD'!BT174*2</f>
        <v>0</v>
      </c>
      <c r="BV89" s="8">
        <f>'June 2024 YTD'!BU174*2</f>
        <v>0</v>
      </c>
      <c r="BW89" s="8">
        <f>'June 2024 YTD'!BV174*2</f>
        <v>0</v>
      </c>
      <c r="BX89" s="88">
        <v>0</v>
      </c>
      <c r="BY89" s="88">
        <v>0</v>
      </c>
      <c r="BZ89" s="88">
        <v>0</v>
      </c>
      <c r="CA89" s="8">
        <f t="shared" ref="CA89:CA90" si="85">SUM(B89:BZ89)</f>
        <v>55151.658073692386</v>
      </c>
      <c r="CB89">
        <v>0</v>
      </c>
      <c r="CC89" s="85">
        <f t="shared" si="68"/>
        <v>55151.658073692386</v>
      </c>
      <c r="CD89" s="119" t="s">
        <v>327</v>
      </c>
    </row>
    <row r="90" spans="1:82">
      <c r="A90" s="78" t="s">
        <v>167</v>
      </c>
      <c r="B90" s="8">
        <v>0</v>
      </c>
      <c r="C90" s="8">
        <f>'June 2024 YTD'!C189*2</f>
        <v>27237.863107908743</v>
      </c>
      <c r="D90" s="8">
        <f>'June 2024 YTD'!D189*2</f>
        <v>13964.615910212335</v>
      </c>
      <c r="E90" s="8">
        <f>'June 2024 YTD'!E189*2</f>
        <v>976.17285839895544</v>
      </c>
      <c r="F90" s="8">
        <f>'June 2024 YTD'!F189*2</f>
        <v>2461.7544661677102</v>
      </c>
      <c r="G90" s="8">
        <f>'June 2024 YTD'!G189*2</f>
        <v>0</v>
      </c>
      <c r="H90" s="8">
        <f>'June 2024 YTD'!H189*2</f>
        <v>6025.7478321868184</v>
      </c>
      <c r="I90" s="8">
        <f>'June 2024 YTD'!I189*2</f>
        <v>6056.5836745712186</v>
      </c>
      <c r="J90" s="8">
        <f>'June 2024 YTD'!J189*2</f>
        <v>8479.3501120978726</v>
      </c>
      <c r="K90" s="8">
        <f>'June 2024 YTD'!K189*2</f>
        <v>2827.083216881038</v>
      </c>
      <c r="L90" s="8">
        <f>'June 2024 YTD'!L189*2</f>
        <v>1098.1232330033786</v>
      </c>
      <c r="M90" s="8">
        <f>'June 2024 YTD'!M189*2</f>
        <v>2094.3362230546186</v>
      </c>
      <c r="N90" s="8">
        <f>'June 2024 YTD'!N189*2</f>
        <v>4128.4570742251208</v>
      </c>
      <c r="O90" s="8">
        <f>'June 2024 YTD'!O189*2</f>
        <v>0</v>
      </c>
      <c r="P90" s="8">
        <f>'June 2024 YTD'!P189*2</f>
        <v>0</v>
      </c>
      <c r="Q90" s="8">
        <f>'June 2024 YTD'!Q189*2</f>
        <v>0</v>
      </c>
      <c r="R90" s="8">
        <f>'June 2024 YTD'!R189*2</f>
        <v>0</v>
      </c>
      <c r="S90" s="8">
        <f>'June 2024 YTD'!S189*2</f>
        <v>0</v>
      </c>
      <c r="T90" s="8">
        <f>'June 2024 YTD'!T189*2</f>
        <v>0</v>
      </c>
      <c r="U90" s="8">
        <f>'June 2024 YTD'!U189*2</f>
        <v>0</v>
      </c>
      <c r="V90" s="8">
        <f>'June 2024 YTD'!V189*2</f>
        <v>0</v>
      </c>
      <c r="W90" s="8">
        <f>'June 2024 YTD'!W189*2</f>
        <v>0</v>
      </c>
      <c r="X90" s="8">
        <f>'June 2024 YTD'!X189*2</f>
        <v>791.4743938500967</v>
      </c>
      <c r="Y90" s="8">
        <f>'June 2024 YTD'!Y189*2</f>
        <v>0</v>
      </c>
      <c r="Z90" s="8">
        <f>'June 2024 YTD'!Z189*2</f>
        <v>339.6849803525846</v>
      </c>
      <c r="AA90" s="8">
        <f>'June 2024 YTD'!AA189*2</f>
        <v>0</v>
      </c>
      <c r="AB90" s="8">
        <f>'June 2024 YTD'!AB189*2</f>
        <v>1662.0962270852037</v>
      </c>
      <c r="AC90" s="8">
        <f>'June 2024 YTD'!AC189*2</f>
        <v>0</v>
      </c>
      <c r="AD90" s="8">
        <f>'June 2024 YTD'!AD189*2</f>
        <v>0</v>
      </c>
      <c r="AE90" s="8">
        <v>0</v>
      </c>
      <c r="AF90" s="8">
        <f>'June 2024 YTD'!AE189*2</f>
        <v>0</v>
      </c>
      <c r="AG90" s="8">
        <f>'June 2024 YTD'!AF189*2</f>
        <v>6626.4452381432884</v>
      </c>
      <c r="AH90" s="8">
        <f>'June 2024 YTD'!AG189*2</f>
        <v>7269.9614088070484</v>
      </c>
      <c r="AI90" s="8">
        <f>'June 2024 YTD'!AH189*2</f>
        <v>0</v>
      </c>
      <c r="AJ90" s="88">
        <v>0</v>
      </c>
      <c r="AK90" s="88">
        <v>0</v>
      </c>
      <c r="AL90" s="88">
        <v>0</v>
      </c>
      <c r="AM90" s="88">
        <v>0</v>
      </c>
      <c r="AN90" s="88">
        <v>0</v>
      </c>
      <c r="AO90" s="88">
        <v>0</v>
      </c>
      <c r="AP90" s="88">
        <v>0</v>
      </c>
      <c r="AQ90" s="8">
        <f>'June 2024 YTD'!AP189*2</f>
        <v>0</v>
      </c>
      <c r="AR90" s="8">
        <f>'June 2024 YTD'!AQ189*2</f>
        <v>0</v>
      </c>
      <c r="AS90" s="88">
        <v>0</v>
      </c>
      <c r="AT90" s="8">
        <f>'June 2024 YTD'!AS189*2</f>
        <v>0</v>
      </c>
      <c r="AU90" s="88">
        <v>0</v>
      </c>
      <c r="AV90" s="88">
        <v>0</v>
      </c>
      <c r="AW90" s="8">
        <f>'June 2024 YTD'!AV189*2</f>
        <v>0</v>
      </c>
      <c r="AX90" s="8">
        <f>'June 2024 YTD'!AW189*2</f>
        <v>0</v>
      </c>
      <c r="AY90" s="88">
        <v>0</v>
      </c>
      <c r="AZ90" s="8">
        <f>'June 2024 YTD'!AY189*2</f>
        <v>0</v>
      </c>
      <c r="BA90" s="8">
        <f>'June 2024 YTD'!AZ189*2</f>
        <v>0</v>
      </c>
      <c r="BB90" s="8">
        <f>'June 2024 YTD'!BA189*2</f>
        <v>0</v>
      </c>
      <c r="BC90" s="88">
        <v>0</v>
      </c>
      <c r="BD90" s="88">
        <v>0</v>
      </c>
      <c r="BE90" s="88">
        <v>0</v>
      </c>
      <c r="BF90" s="88">
        <v>0</v>
      </c>
      <c r="BG90" s="8">
        <f>'June 2024 YTD'!BF189*2</f>
        <v>0</v>
      </c>
      <c r="BH90" s="8">
        <f>'June 2024 YTD'!BG189*2</f>
        <v>0</v>
      </c>
      <c r="BI90" s="8">
        <f>'June 2024 YTD'!BH189*2</f>
        <v>0</v>
      </c>
      <c r="BJ90" s="8">
        <f>'June 2024 YTD'!BI189*2</f>
        <v>0</v>
      </c>
      <c r="BK90" s="8">
        <f>'June 2024 YTD'!BJ189*2</f>
        <v>0</v>
      </c>
      <c r="BL90" s="8">
        <f>'June 2024 YTD'!BK189*2</f>
        <v>0</v>
      </c>
      <c r="BM90" s="8">
        <f>'June 2024 YTD'!BL189*2</f>
        <v>0</v>
      </c>
      <c r="BN90" s="8">
        <f>'June 2024 YTD'!BM189*2</f>
        <v>0</v>
      </c>
      <c r="BO90" s="8">
        <f>'June 2024 YTD'!BN189*2</f>
        <v>0</v>
      </c>
      <c r="BP90" s="8">
        <f>'June 2024 YTD'!BO189*2</f>
        <v>0</v>
      </c>
      <c r="BQ90" s="8">
        <f>'June 2024 YTD'!BP189*2</f>
        <v>0</v>
      </c>
      <c r="BR90" s="8">
        <f>'June 2024 YTD'!BQ189*2</f>
        <v>0</v>
      </c>
      <c r="BS90" s="8">
        <f>'June 2024 YTD'!BR189*2</f>
        <v>0</v>
      </c>
      <c r="BT90" s="8">
        <f>'June 2024 YTD'!BS189*2</f>
        <v>0</v>
      </c>
      <c r="BU90" s="8">
        <f>'June 2024 YTD'!BT189*2</f>
        <v>0</v>
      </c>
      <c r="BV90" s="8">
        <f>'June 2024 YTD'!BU189*2</f>
        <v>0</v>
      </c>
      <c r="BW90" s="8">
        <f>'June 2024 YTD'!BV189*2</f>
        <v>0</v>
      </c>
      <c r="BX90" s="88">
        <v>0</v>
      </c>
      <c r="BY90" s="88">
        <v>0</v>
      </c>
      <c r="BZ90" s="88">
        <v>0</v>
      </c>
      <c r="CA90" s="8">
        <f t="shared" si="85"/>
        <v>92039.749956946049</v>
      </c>
      <c r="CB90">
        <v>0</v>
      </c>
      <c r="CC90" s="85">
        <f t="shared" si="68"/>
        <v>92039.749956946049</v>
      </c>
      <c r="CD90" s="119" t="s">
        <v>327</v>
      </c>
    </row>
    <row r="91" spans="1:82">
      <c r="A91" s="9" t="s">
        <v>168</v>
      </c>
      <c r="B91" s="10">
        <f t="shared" ref="B91:BN91" si="86">SUM(B89:B90)</f>
        <v>0</v>
      </c>
      <c r="C91" s="10">
        <f t="shared" si="86"/>
        <v>36633.753787160371</v>
      </c>
      <c r="D91" s="10">
        <f t="shared" si="86"/>
        <v>23332.131070165575</v>
      </c>
      <c r="E91" s="10">
        <f t="shared" si="86"/>
        <v>979.43593287926626</v>
      </c>
      <c r="F91" s="10">
        <f t="shared" si="86"/>
        <v>4081.3087267281726</v>
      </c>
      <c r="G91" s="10">
        <f t="shared" si="86"/>
        <v>480.15700021762211</v>
      </c>
      <c r="H91" s="10">
        <f t="shared" si="86"/>
        <v>11011.427992794357</v>
      </c>
      <c r="I91" s="10">
        <f t="shared" si="86"/>
        <v>8856.7976541900734</v>
      </c>
      <c r="J91" s="10">
        <f t="shared" si="86"/>
        <v>14201.503978131499</v>
      </c>
      <c r="K91" s="10">
        <f t="shared" si="86"/>
        <v>4236.3565797660685</v>
      </c>
      <c r="L91" s="10">
        <f t="shared" si="86"/>
        <v>1147.6315691218774</v>
      </c>
      <c r="M91" s="10">
        <f t="shared" si="86"/>
        <v>3448.6885147879311</v>
      </c>
      <c r="N91" s="10">
        <f t="shared" si="86"/>
        <v>6844.0956909624065</v>
      </c>
      <c r="O91" s="10">
        <f t="shared" si="86"/>
        <v>16.745304512135363</v>
      </c>
      <c r="P91" s="10">
        <f t="shared" si="86"/>
        <v>0</v>
      </c>
      <c r="Q91" s="10">
        <f t="shared" si="86"/>
        <v>0</v>
      </c>
      <c r="R91" s="10">
        <f t="shared" si="86"/>
        <v>0</v>
      </c>
      <c r="S91" s="10">
        <f t="shared" si="86"/>
        <v>1.0913661268606984</v>
      </c>
      <c r="T91" s="10">
        <f t="shared" si="86"/>
        <v>0</v>
      </c>
      <c r="U91" s="10">
        <f t="shared" si="86"/>
        <v>36.533205499155095</v>
      </c>
      <c r="V91" s="10">
        <f t="shared" si="86"/>
        <v>0</v>
      </c>
      <c r="W91" s="10">
        <f t="shared" si="86"/>
        <v>0</v>
      </c>
      <c r="X91" s="10">
        <f t="shared" si="86"/>
        <v>1694.9381405861423</v>
      </c>
      <c r="Y91" s="10">
        <f t="shared" si="86"/>
        <v>0</v>
      </c>
      <c r="Z91" s="10">
        <f t="shared" si="86"/>
        <v>511.4152987792105</v>
      </c>
      <c r="AA91" s="10">
        <f t="shared" si="86"/>
        <v>59.143224955632789</v>
      </c>
      <c r="AB91" s="10">
        <f t="shared" si="86"/>
        <v>4930.8149443348957</v>
      </c>
      <c r="AC91" s="10">
        <f t="shared" si="86"/>
        <v>0</v>
      </c>
      <c r="AD91" s="10">
        <f t="shared" si="86"/>
        <v>0</v>
      </c>
      <c r="AE91" s="10">
        <f t="shared" ref="AE91" si="87">SUM(AE89:AE90)</f>
        <v>0</v>
      </c>
      <c r="AF91" s="10">
        <f t="shared" si="86"/>
        <v>0</v>
      </c>
      <c r="AG91" s="10">
        <f t="shared" si="86"/>
        <v>12098.235305114962</v>
      </c>
      <c r="AH91" s="10">
        <f t="shared" si="86"/>
        <v>11266.334711265772</v>
      </c>
      <c r="AI91" s="10">
        <f t="shared" si="86"/>
        <v>0</v>
      </c>
      <c r="AJ91" s="89">
        <f t="shared" si="86"/>
        <v>0</v>
      </c>
      <c r="AK91" s="89">
        <f t="shared" si="86"/>
        <v>0</v>
      </c>
      <c r="AL91" s="89">
        <f t="shared" si="86"/>
        <v>0</v>
      </c>
      <c r="AM91" s="89">
        <f t="shared" si="86"/>
        <v>0</v>
      </c>
      <c r="AN91" s="89">
        <f t="shared" si="86"/>
        <v>0</v>
      </c>
      <c r="AO91" s="89">
        <f t="shared" si="86"/>
        <v>0</v>
      </c>
      <c r="AP91" s="89">
        <f t="shared" si="86"/>
        <v>0</v>
      </c>
      <c r="AQ91" s="10">
        <f t="shared" si="86"/>
        <v>0</v>
      </c>
      <c r="AR91" s="10">
        <f t="shared" si="86"/>
        <v>0</v>
      </c>
      <c r="AS91" s="89">
        <f t="shared" si="86"/>
        <v>0</v>
      </c>
      <c r="AT91" s="10">
        <f t="shared" si="86"/>
        <v>0</v>
      </c>
      <c r="AU91" s="89">
        <f t="shared" si="86"/>
        <v>0</v>
      </c>
      <c r="AV91" s="89">
        <f t="shared" si="86"/>
        <v>0</v>
      </c>
      <c r="AW91" s="10">
        <f t="shared" si="86"/>
        <v>0</v>
      </c>
      <c r="AX91" s="10">
        <f t="shared" si="86"/>
        <v>0</v>
      </c>
      <c r="AY91" s="89">
        <f t="shared" si="86"/>
        <v>0</v>
      </c>
      <c r="AZ91" s="10">
        <f t="shared" si="86"/>
        <v>0</v>
      </c>
      <c r="BA91" s="10">
        <f t="shared" si="86"/>
        <v>1322.8680325584223</v>
      </c>
      <c r="BB91" s="10">
        <f t="shared" si="86"/>
        <v>0</v>
      </c>
      <c r="BC91" s="89">
        <f t="shared" si="86"/>
        <v>0</v>
      </c>
      <c r="BD91" s="89">
        <f t="shared" si="86"/>
        <v>0</v>
      </c>
      <c r="BE91" s="89">
        <f t="shared" si="86"/>
        <v>0</v>
      </c>
      <c r="BF91" s="89">
        <f t="shared" si="86"/>
        <v>0</v>
      </c>
      <c r="BG91" s="10">
        <f t="shared" si="86"/>
        <v>0</v>
      </c>
      <c r="BH91" s="10">
        <f t="shared" si="86"/>
        <v>0</v>
      </c>
      <c r="BI91" s="10">
        <f t="shared" si="86"/>
        <v>0</v>
      </c>
      <c r="BJ91" s="10">
        <f t="shared" si="86"/>
        <v>0</v>
      </c>
      <c r="BK91" s="10">
        <f t="shared" si="86"/>
        <v>0</v>
      </c>
      <c r="BL91" s="10">
        <f t="shared" si="86"/>
        <v>0</v>
      </c>
      <c r="BM91" s="10">
        <f t="shared" si="86"/>
        <v>0</v>
      </c>
      <c r="BN91" s="10">
        <f t="shared" si="86"/>
        <v>0</v>
      </c>
      <c r="BO91" s="10">
        <f t="shared" ref="BO91:CA91" si="88">SUM(BO89:BO90)</f>
        <v>0</v>
      </c>
      <c r="BP91" s="10">
        <f t="shared" si="88"/>
        <v>0</v>
      </c>
      <c r="BQ91" s="10">
        <f t="shared" si="88"/>
        <v>0</v>
      </c>
      <c r="BR91" s="10">
        <f t="shared" si="88"/>
        <v>0</v>
      </c>
      <c r="BS91" s="10">
        <f t="shared" si="88"/>
        <v>0</v>
      </c>
      <c r="BT91" s="10">
        <f t="shared" si="88"/>
        <v>0</v>
      </c>
      <c r="BU91" s="10">
        <f t="shared" si="88"/>
        <v>0</v>
      </c>
      <c r="BV91" s="10">
        <f t="shared" si="88"/>
        <v>0</v>
      </c>
      <c r="BW91" s="10">
        <f t="shared" si="88"/>
        <v>0</v>
      </c>
      <c r="BX91" s="89">
        <f t="shared" si="88"/>
        <v>0</v>
      </c>
      <c r="BY91" s="89">
        <f t="shared" si="88"/>
        <v>0</v>
      </c>
      <c r="BZ91" s="89">
        <f t="shared" si="88"/>
        <v>0</v>
      </c>
      <c r="CA91" s="10">
        <f t="shared" si="88"/>
        <v>147191.40803063844</v>
      </c>
      <c r="CB91" s="10">
        <v>0</v>
      </c>
      <c r="CC91" s="114">
        <f t="shared" si="68"/>
        <v>147191.40803063844</v>
      </c>
    </row>
    <row r="92" spans="1:82">
      <c r="A92" s="6" t="s">
        <v>169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87"/>
      <c r="AK92" s="87"/>
      <c r="AL92" s="87"/>
      <c r="AM92" s="87"/>
      <c r="AN92" s="87"/>
      <c r="AO92" s="87"/>
      <c r="AP92" s="87"/>
      <c r="AQ92" s="4"/>
      <c r="AR92" s="4"/>
      <c r="AS92" s="87"/>
      <c r="AT92" s="4"/>
      <c r="AU92" s="87"/>
      <c r="AV92" s="87"/>
      <c r="AW92" s="4"/>
      <c r="AX92" s="4"/>
      <c r="AY92" s="87"/>
      <c r="AZ92" s="4"/>
      <c r="BA92" s="4"/>
      <c r="BB92" s="4"/>
      <c r="BC92" s="87"/>
      <c r="BD92" s="87"/>
      <c r="BE92" s="87"/>
      <c r="BF92" s="87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87"/>
      <c r="BY92" s="87"/>
      <c r="BZ92" s="87"/>
      <c r="CA92" s="4"/>
      <c r="CC92" s="85"/>
    </row>
    <row r="93" spans="1:82">
      <c r="A93" s="78" t="s">
        <v>170</v>
      </c>
      <c r="B93" s="8">
        <v>0</v>
      </c>
      <c r="C93" s="8">
        <f>'June 2024 YTD'!C93*2</f>
        <v>14470.76</v>
      </c>
      <c r="D93" s="93">
        <f>('June 2024 YTD'!D93*2)+2061.36</f>
        <v>9126.92</v>
      </c>
      <c r="E93" s="8">
        <f>'June 2024 YTD'!E93*2</f>
        <v>0</v>
      </c>
      <c r="F93" s="8">
        <f>'June 2024 YTD'!F93*2</f>
        <v>0</v>
      </c>
      <c r="G93" s="8">
        <f>'June 2024 YTD'!G93*2</f>
        <v>0</v>
      </c>
      <c r="H93" s="8">
        <f>'June 2024 YTD'!H93*2</f>
        <v>419.92</v>
      </c>
      <c r="I93" s="8">
        <f>'June 2024 YTD'!I93*2</f>
        <v>0</v>
      </c>
      <c r="J93" s="8">
        <f>'June 2024 YTD'!J93*2</f>
        <v>0</v>
      </c>
      <c r="K93" s="8">
        <f>'June 2024 YTD'!K93*2</f>
        <v>0</v>
      </c>
      <c r="L93" s="8">
        <f>'June 2024 YTD'!L93*2</f>
        <v>0</v>
      </c>
      <c r="M93" s="8">
        <f>'June 2024 YTD'!M93*2</f>
        <v>0</v>
      </c>
      <c r="N93" s="8">
        <f>'June 2024 YTD'!N93*2</f>
        <v>0</v>
      </c>
      <c r="O93" s="8">
        <f>'June 2024 YTD'!O93*2</f>
        <v>0</v>
      </c>
      <c r="P93" s="8">
        <f>'June 2024 YTD'!P93*2</f>
        <v>0</v>
      </c>
      <c r="Q93" s="8">
        <f>'June 2024 YTD'!Q93*2</f>
        <v>0</v>
      </c>
      <c r="R93" s="8">
        <f>'June 2024 YTD'!R93*2</f>
        <v>0</v>
      </c>
      <c r="S93" s="8">
        <f>'June 2024 YTD'!S93*2</f>
        <v>0</v>
      </c>
      <c r="T93" s="8">
        <f>'June 2024 YTD'!T93*2</f>
        <v>0</v>
      </c>
      <c r="U93" s="8">
        <f>'June 2024 YTD'!U93*2</f>
        <v>0</v>
      </c>
      <c r="V93" s="8">
        <f>'June 2024 YTD'!V93*2</f>
        <v>0</v>
      </c>
      <c r="W93" s="8">
        <f>'June 2024 YTD'!W93*2</f>
        <v>0</v>
      </c>
      <c r="X93" s="8">
        <f>'June 2024 YTD'!X93*2</f>
        <v>2058.48</v>
      </c>
      <c r="Y93" s="8">
        <f>'June 2024 YTD'!Y93*2</f>
        <v>0</v>
      </c>
      <c r="Z93" s="8">
        <f>'June 2024 YTD'!Z93*2</f>
        <v>0</v>
      </c>
      <c r="AA93" s="8">
        <f>'June 2024 YTD'!AA93*2</f>
        <v>0</v>
      </c>
      <c r="AB93" s="93">
        <f>('June 2024 YTD'!AB93*2)-4283.29</f>
        <v>39126.07</v>
      </c>
      <c r="AC93" s="8">
        <f>'June 2024 YTD'!AC93*2</f>
        <v>0</v>
      </c>
      <c r="AD93" s="8">
        <f>'June 2024 YTD'!AD93*2</f>
        <v>0</v>
      </c>
      <c r="AE93" s="8">
        <v>0</v>
      </c>
      <c r="AF93" s="8">
        <f>'June 2024 YTD'!AE93*2</f>
        <v>0</v>
      </c>
      <c r="AG93" s="8">
        <f>'June 2024 YTD'!AF93*2</f>
        <v>0</v>
      </c>
      <c r="AH93" s="8">
        <f>'June 2024 YTD'!AG93*2</f>
        <v>44.76</v>
      </c>
      <c r="AI93" s="8">
        <v>0</v>
      </c>
      <c r="AJ93" s="88">
        <v>0</v>
      </c>
      <c r="AK93" s="88">
        <v>0</v>
      </c>
      <c r="AL93" s="88">
        <v>0</v>
      </c>
      <c r="AM93" s="88">
        <v>0</v>
      </c>
      <c r="AN93" s="88">
        <v>0</v>
      </c>
      <c r="AO93" s="88">
        <v>0</v>
      </c>
      <c r="AP93" s="88">
        <v>0</v>
      </c>
      <c r="AQ93" s="8">
        <f>'June 2024 YTD'!AP93*2</f>
        <v>0</v>
      </c>
      <c r="AR93" s="8">
        <f>'June 2024 YTD'!AQ93*2</f>
        <v>0</v>
      </c>
      <c r="AS93" s="88">
        <v>0</v>
      </c>
      <c r="AT93" s="8">
        <f>'June 2024 YTD'!AS93*2</f>
        <v>0</v>
      </c>
      <c r="AU93" s="88">
        <v>0</v>
      </c>
      <c r="AV93" s="88">
        <v>0</v>
      </c>
      <c r="AW93" s="8">
        <f>'June 2024 YTD'!AV93*2</f>
        <v>0</v>
      </c>
      <c r="AX93" s="8">
        <f>'June 2024 YTD'!AW93*2</f>
        <v>0</v>
      </c>
      <c r="AY93" s="88">
        <v>0</v>
      </c>
      <c r="AZ93" s="93">
        <f>('June 2024 YTD'!AY93*2)-2061.36</f>
        <v>3458.64</v>
      </c>
      <c r="BA93" s="8">
        <f>'June 2024 YTD'!AZ93*2</f>
        <v>0</v>
      </c>
      <c r="BB93" s="8">
        <f>'June 2024 YTD'!BA93*2</f>
        <v>0</v>
      </c>
      <c r="BC93" s="88">
        <v>0</v>
      </c>
      <c r="BD93" s="88">
        <v>0</v>
      </c>
      <c r="BE93" s="88">
        <v>0</v>
      </c>
      <c r="BF93" s="88">
        <v>0</v>
      </c>
      <c r="BG93" s="8">
        <f>'June 2024 YTD'!BF93*2</f>
        <v>0</v>
      </c>
      <c r="BH93" s="8">
        <f>'June 2024 YTD'!BG93*2</f>
        <v>0</v>
      </c>
      <c r="BI93" s="8">
        <f>'June 2024 YTD'!BH93*2</f>
        <v>0</v>
      </c>
      <c r="BJ93" s="8">
        <f>'June 2024 YTD'!BI93*2</f>
        <v>0</v>
      </c>
      <c r="BK93" s="8">
        <f>'June 2024 YTD'!BJ93*2</f>
        <v>0</v>
      </c>
      <c r="BL93" s="8">
        <f>'June 2024 YTD'!BK93*2</f>
        <v>0</v>
      </c>
      <c r="BM93" s="8">
        <f>'June 2024 YTD'!BL93*2</f>
        <v>0</v>
      </c>
      <c r="BN93" s="8">
        <f>'June 2024 YTD'!BM93*2</f>
        <v>0</v>
      </c>
      <c r="BO93" s="8">
        <f>'June 2024 YTD'!BN93*2</f>
        <v>0</v>
      </c>
      <c r="BP93" s="8">
        <f>'June 2024 YTD'!BO93*2</f>
        <v>0</v>
      </c>
      <c r="BQ93" s="8">
        <f>'June 2024 YTD'!BP93*2</f>
        <v>0</v>
      </c>
      <c r="BR93" s="8">
        <f>'June 2024 YTD'!BQ93*2</f>
        <v>0</v>
      </c>
      <c r="BS93" s="8">
        <f>'June 2024 YTD'!BR93*2</f>
        <v>0</v>
      </c>
      <c r="BT93" s="8">
        <f>'June 2024 YTD'!BS93*2</f>
        <v>0</v>
      </c>
      <c r="BU93" s="8">
        <f>'June 2024 YTD'!BT93*2</f>
        <v>0</v>
      </c>
      <c r="BV93" s="8">
        <f>'June 2024 YTD'!BU93*2</f>
        <v>0</v>
      </c>
      <c r="BW93" s="8">
        <f>'June 2024 YTD'!BV93*2</f>
        <v>0</v>
      </c>
      <c r="BX93" s="88">
        <v>0</v>
      </c>
      <c r="BY93" s="88">
        <v>0</v>
      </c>
      <c r="BZ93" s="88">
        <v>0</v>
      </c>
      <c r="CA93" s="8">
        <f t="shared" ref="CA93:CA98" si="89">SUM(B93:BZ93)</f>
        <v>68705.55</v>
      </c>
      <c r="CB93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93" s="85" t="e">
        <f t="shared" si="68"/>
        <v>#REF!</v>
      </c>
    </row>
    <row r="94" spans="1:82">
      <c r="A94" s="78" t="s">
        <v>171</v>
      </c>
      <c r="B94" s="8">
        <v>0</v>
      </c>
      <c r="C94" s="8">
        <f>C224</f>
        <v>4011.1180042219189</v>
      </c>
      <c r="D94" s="8">
        <f t="shared" ref="D94:BP94" si="90">D224</f>
        <v>2385.641891908333</v>
      </c>
      <c r="E94" s="8">
        <f t="shared" si="90"/>
        <v>352.32409094642094</v>
      </c>
      <c r="F94" s="8">
        <f t="shared" si="90"/>
        <v>428.15189542743366</v>
      </c>
      <c r="G94" s="8">
        <f t="shared" si="90"/>
        <v>0</v>
      </c>
      <c r="H94" s="8">
        <f t="shared" si="90"/>
        <v>461.49429535819684</v>
      </c>
      <c r="I94" s="8">
        <f t="shared" si="90"/>
        <v>920.14561664317046</v>
      </c>
      <c r="J94" s="8">
        <f t="shared" si="90"/>
        <v>2273.4467630826475</v>
      </c>
      <c r="K94" s="8">
        <f t="shared" si="90"/>
        <v>477.6651318866912</v>
      </c>
      <c r="L94" s="8">
        <f t="shared" si="90"/>
        <v>114.37853291392106</v>
      </c>
      <c r="M94" s="8">
        <f t="shared" si="90"/>
        <v>447.98448256223958</v>
      </c>
      <c r="N94" s="8">
        <f t="shared" si="90"/>
        <v>1176.2407211591278</v>
      </c>
      <c r="O94" s="8">
        <f t="shared" si="90"/>
        <v>166.37084276502935</v>
      </c>
      <c r="P94" s="8">
        <f t="shared" si="90"/>
        <v>9.3476987527583137</v>
      </c>
      <c r="Q94" s="8">
        <f t="shared" si="90"/>
        <v>13.737250721815137</v>
      </c>
      <c r="R94" s="8">
        <f t="shared" si="90"/>
        <v>13.737250721815137</v>
      </c>
      <c r="S94" s="8">
        <f t="shared" si="90"/>
        <v>10.143731493260844</v>
      </c>
      <c r="T94" s="8">
        <f t="shared" si="90"/>
        <v>0</v>
      </c>
      <c r="U94" s="8">
        <f t="shared" si="90"/>
        <v>404.45286355304398</v>
      </c>
      <c r="V94" s="8">
        <f t="shared" si="90"/>
        <v>0</v>
      </c>
      <c r="W94" s="8">
        <f t="shared" si="90"/>
        <v>0</v>
      </c>
      <c r="X94" s="8">
        <f t="shared" si="90"/>
        <v>850.20845444187648</v>
      </c>
      <c r="Y94" s="8">
        <f t="shared" si="90"/>
        <v>0</v>
      </c>
      <c r="Z94" s="8">
        <f t="shared" si="90"/>
        <v>242.85821723102984</v>
      </c>
      <c r="AA94" s="8">
        <f t="shared" si="90"/>
        <v>179.81242418322927</v>
      </c>
      <c r="AB94" s="8">
        <f t="shared" si="90"/>
        <v>1446.7326463818886</v>
      </c>
      <c r="AC94" s="8">
        <f t="shared" si="90"/>
        <v>0</v>
      </c>
      <c r="AD94" s="8">
        <f t="shared" si="90"/>
        <v>0</v>
      </c>
      <c r="AE94" s="8">
        <v>0</v>
      </c>
      <c r="AF94" s="8">
        <f t="shared" si="90"/>
        <v>0</v>
      </c>
      <c r="AG94" s="8">
        <f t="shared" si="90"/>
        <v>1390.1915780136233</v>
      </c>
      <c r="AH94" s="8">
        <f t="shared" si="90"/>
        <v>616.65244837843329</v>
      </c>
      <c r="AI94" s="8">
        <f t="shared" si="90"/>
        <v>0</v>
      </c>
      <c r="AJ94" s="88">
        <f t="shared" si="90"/>
        <v>0</v>
      </c>
      <c r="AK94" s="88">
        <f t="shared" si="90"/>
        <v>0</v>
      </c>
      <c r="AL94" s="88">
        <f t="shared" si="90"/>
        <v>0</v>
      </c>
      <c r="AM94" s="88">
        <f t="shared" si="90"/>
        <v>0</v>
      </c>
      <c r="AN94" s="88">
        <f t="shared" si="90"/>
        <v>0</v>
      </c>
      <c r="AO94" s="88">
        <f t="shared" si="90"/>
        <v>0</v>
      </c>
      <c r="AP94" s="88">
        <f t="shared" si="90"/>
        <v>0</v>
      </c>
      <c r="AQ94" s="8">
        <f t="shared" si="90"/>
        <v>0.93249549601725257</v>
      </c>
      <c r="AR94" s="8">
        <f t="shared" si="90"/>
        <v>198.91720995529002</v>
      </c>
      <c r="AS94" s="88">
        <f t="shared" si="90"/>
        <v>0</v>
      </c>
      <c r="AT94" s="8">
        <f t="shared" si="90"/>
        <v>111.69476538879823</v>
      </c>
      <c r="AU94" s="88">
        <f t="shared" si="90"/>
        <v>0</v>
      </c>
      <c r="AV94" s="88">
        <f t="shared" si="90"/>
        <v>0</v>
      </c>
      <c r="AW94" s="8">
        <f t="shared" si="90"/>
        <v>262.00849058826219</v>
      </c>
      <c r="AX94" s="8">
        <f t="shared" si="90"/>
        <v>0</v>
      </c>
      <c r="AY94" s="88">
        <f t="shared" si="90"/>
        <v>0</v>
      </c>
      <c r="AZ94" s="8">
        <f t="shared" si="90"/>
        <v>42.007784905947943</v>
      </c>
      <c r="BA94" s="8">
        <f t="shared" si="90"/>
        <v>0</v>
      </c>
      <c r="BB94" s="8">
        <f t="shared" si="90"/>
        <v>0</v>
      </c>
      <c r="BC94" s="88">
        <f t="shared" si="90"/>
        <v>0</v>
      </c>
      <c r="BD94" s="88">
        <f t="shared" si="90"/>
        <v>0</v>
      </c>
      <c r="BE94" s="88">
        <f t="shared" si="90"/>
        <v>0</v>
      </c>
      <c r="BF94" s="88">
        <f t="shared" si="90"/>
        <v>0</v>
      </c>
      <c r="BG94" s="8">
        <f t="shared" si="90"/>
        <v>0</v>
      </c>
      <c r="BH94" s="8">
        <f>0</f>
        <v>0</v>
      </c>
      <c r="BI94" s="93">
        <f>219.03</f>
        <v>219.03</v>
      </c>
      <c r="BJ94" s="8">
        <f t="shared" si="90"/>
        <v>91.270839646761829</v>
      </c>
      <c r="BK94" s="8">
        <f t="shared" si="90"/>
        <v>88.10945247733747</v>
      </c>
      <c r="BL94" s="8">
        <f t="shared" si="90"/>
        <v>0</v>
      </c>
      <c r="BM94" s="8">
        <f t="shared" si="90"/>
        <v>0</v>
      </c>
      <c r="BN94" s="8">
        <f t="shared" si="90"/>
        <v>0</v>
      </c>
      <c r="BO94" s="8">
        <f t="shared" si="90"/>
        <v>836.03907166093131</v>
      </c>
      <c r="BP94" s="8">
        <f t="shared" si="90"/>
        <v>73.007574200375146</v>
      </c>
      <c r="BQ94" s="8">
        <f t="shared" ref="BQ94:BZ94" si="91">BQ224</f>
        <v>64.819808869491951</v>
      </c>
      <c r="BR94" s="8">
        <f t="shared" si="91"/>
        <v>57.723745582726515</v>
      </c>
      <c r="BS94" s="8">
        <f t="shared" si="91"/>
        <v>222.75270458519444</v>
      </c>
      <c r="BT94" s="8">
        <f t="shared" si="91"/>
        <v>232.62351056742583</v>
      </c>
      <c r="BU94" s="8">
        <f t="shared" si="91"/>
        <v>0</v>
      </c>
      <c r="BV94" s="8">
        <f t="shared" si="91"/>
        <v>0</v>
      </c>
      <c r="BW94" s="8">
        <f t="shared" si="91"/>
        <v>0</v>
      </c>
      <c r="BX94" s="88">
        <f t="shared" si="91"/>
        <v>0</v>
      </c>
      <c r="BY94" s="88">
        <f t="shared" si="91"/>
        <v>0</v>
      </c>
      <c r="BZ94" s="88">
        <f t="shared" si="91"/>
        <v>0</v>
      </c>
      <c r="CA94" s="8">
        <f t="shared" si="89"/>
        <v>20893.774286672458</v>
      </c>
      <c r="CB94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94" s="85" t="e">
        <f t="shared" si="68"/>
        <v>#REF!</v>
      </c>
    </row>
    <row r="95" spans="1:82">
      <c r="A95" s="9" t="s">
        <v>172</v>
      </c>
      <c r="B95" s="10">
        <f t="shared" ref="B95:BN95" si="92">SUM(B93:B94)</f>
        <v>0</v>
      </c>
      <c r="C95" s="10">
        <f t="shared" si="92"/>
        <v>18481.878004221919</v>
      </c>
      <c r="D95" s="10">
        <f t="shared" si="92"/>
        <v>11512.561891908334</v>
      </c>
      <c r="E95" s="10">
        <f t="shared" si="92"/>
        <v>352.32409094642094</v>
      </c>
      <c r="F95" s="10">
        <f t="shared" si="92"/>
        <v>428.15189542743366</v>
      </c>
      <c r="G95" s="10">
        <f t="shared" si="92"/>
        <v>0</v>
      </c>
      <c r="H95" s="10">
        <f t="shared" si="92"/>
        <v>881.4142953581968</v>
      </c>
      <c r="I95" s="10">
        <f t="shared" si="92"/>
        <v>920.14561664317046</v>
      </c>
      <c r="J95" s="10">
        <f t="shared" si="92"/>
        <v>2273.4467630826475</v>
      </c>
      <c r="K95" s="10">
        <f t="shared" si="92"/>
        <v>477.6651318866912</v>
      </c>
      <c r="L95" s="10">
        <f t="shared" si="92"/>
        <v>114.37853291392106</v>
      </c>
      <c r="M95" s="10">
        <f t="shared" si="92"/>
        <v>447.98448256223958</v>
      </c>
      <c r="N95" s="10">
        <f t="shared" si="92"/>
        <v>1176.2407211591278</v>
      </c>
      <c r="O95" s="10">
        <f t="shared" si="92"/>
        <v>166.37084276502935</v>
      </c>
      <c r="P95" s="10">
        <f t="shared" si="92"/>
        <v>9.3476987527583137</v>
      </c>
      <c r="Q95" s="10">
        <f t="shared" si="92"/>
        <v>13.737250721815137</v>
      </c>
      <c r="R95" s="10">
        <f t="shared" si="92"/>
        <v>13.737250721815137</v>
      </c>
      <c r="S95" s="10">
        <f t="shared" si="92"/>
        <v>10.143731493260844</v>
      </c>
      <c r="T95" s="10">
        <f t="shared" si="92"/>
        <v>0</v>
      </c>
      <c r="U95" s="10">
        <f t="shared" si="92"/>
        <v>404.45286355304398</v>
      </c>
      <c r="V95" s="10">
        <f t="shared" si="92"/>
        <v>0</v>
      </c>
      <c r="W95" s="10">
        <f t="shared" si="92"/>
        <v>0</v>
      </c>
      <c r="X95" s="10">
        <f t="shared" si="92"/>
        <v>2908.6884544418763</v>
      </c>
      <c r="Y95" s="10">
        <f t="shared" si="92"/>
        <v>0</v>
      </c>
      <c r="Z95" s="10">
        <f t="shared" si="92"/>
        <v>242.85821723102984</v>
      </c>
      <c r="AA95" s="10">
        <f t="shared" si="92"/>
        <v>179.81242418322927</v>
      </c>
      <c r="AB95" s="10">
        <f t="shared" si="92"/>
        <v>40572.80264638189</v>
      </c>
      <c r="AC95" s="10">
        <f t="shared" si="92"/>
        <v>0</v>
      </c>
      <c r="AD95" s="10">
        <f t="shared" si="92"/>
        <v>0</v>
      </c>
      <c r="AE95" s="10">
        <f t="shared" ref="AE95" si="93">SUM(AE93:AE94)</f>
        <v>0</v>
      </c>
      <c r="AF95" s="10">
        <f t="shared" si="92"/>
        <v>0</v>
      </c>
      <c r="AG95" s="10">
        <f t="shared" si="92"/>
        <v>1390.1915780136233</v>
      </c>
      <c r="AH95" s="10">
        <f t="shared" si="92"/>
        <v>661.41244837843328</v>
      </c>
      <c r="AI95" s="10">
        <f t="shared" si="92"/>
        <v>0</v>
      </c>
      <c r="AJ95" s="89">
        <f t="shared" si="92"/>
        <v>0</v>
      </c>
      <c r="AK95" s="89">
        <f t="shared" si="92"/>
        <v>0</v>
      </c>
      <c r="AL95" s="89">
        <f t="shared" si="92"/>
        <v>0</v>
      </c>
      <c r="AM95" s="89">
        <f t="shared" si="92"/>
        <v>0</v>
      </c>
      <c r="AN95" s="89">
        <f t="shared" si="92"/>
        <v>0</v>
      </c>
      <c r="AO95" s="89">
        <f t="shared" si="92"/>
        <v>0</v>
      </c>
      <c r="AP95" s="89">
        <f t="shared" si="92"/>
        <v>0</v>
      </c>
      <c r="AQ95" s="10">
        <f t="shared" si="92"/>
        <v>0.93249549601725257</v>
      </c>
      <c r="AR95" s="10">
        <f t="shared" si="92"/>
        <v>198.91720995529002</v>
      </c>
      <c r="AS95" s="89">
        <f t="shared" si="92"/>
        <v>0</v>
      </c>
      <c r="AT95" s="10">
        <f t="shared" si="92"/>
        <v>111.69476538879823</v>
      </c>
      <c r="AU95" s="89">
        <f t="shared" si="92"/>
        <v>0</v>
      </c>
      <c r="AV95" s="89">
        <f t="shared" si="92"/>
        <v>0</v>
      </c>
      <c r="AW95" s="10">
        <f t="shared" si="92"/>
        <v>262.00849058826219</v>
      </c>
      <c r="AX95" s="10">
        <f t="shared" si="92"/>
        <v>0</v>
      </c>
      <c r="AY95" s="89">
        <f t="shared" si="92"/>
        <v>0</v>
      </c>
      <c r="AZ95" s="10">
        <f t="shared" si="92"/>
        <v>3500.6477849059479</v>
      </c>
      <c r="BA95" s="10">
        <f t="shared" si="92"/>
        <v>0</v>
      </c>
      <c r="BB95" s="10">
        <f t="shared" si="92"/>
        <v>0</v>
      </c>
      <c r="BC95" s="89">
        <f t="shared" si="92"/>
        <v>0</v>
      </c>
      <c r="BD95" s="89">
        <f t="shared" si="92"/>
        <v>0</v>
      </c>
      <c r="BE95" s="89">
        <f t="shared" si="92"/>
        <v>0</v>
      </c>
      <c r="BF95" s="89">
        <f t="shared" si="92"/>
        <v>0</v>
      </c>
      <c r="BG95" s="10">
        <f t="shared" si="92"/>
        <v>0</v>
      </c>
      <c r="BH95" s="10">
        <f t="shared" si="92"/>
        <v>0</v>
      </c>
      <c r="BI95" s="10">
        <f t="shared" si="92"/>
        <v>219.03</v>
      </c>
      <c r="BJ95" s="10">
        <f t="shared" si="92"/>
        <v>91.270839646761829</v>
      </c>
      <c r="BK95" s="10">
        <f t="shared" si="92"/>
        <v>88.10945247733747</v>
      </c>
      <c r="BL95" s="10">
        <f t="shared" si="92"/>
        <v>0</v>
      </c>
      <c r="BM95" s="10">
        <f t="shared" si="92"/>
        <v>0</v>
      </c>
      <c r="BN95" s="10">
        <f t="shared" si="92"/>
        <v>0</v>
      </c>
      <c r="BO95" s="10">
        <f t="shared" ref="BO95:CB95" si="94">SUM(BO93:BO94)</f>
        <v>836.03907166093131</v>
      </c>
      <c r="BP95" s="10">
        <f t="shared" si="94"/>
        <v>73.007574200375146</v>
      </c>
      <c r="BQ95" s="10">
        <f t="shared" si="94"/>
        <v>64.819808869491951</v>
      </c>
      <c r="BR95" s="10">
        <f t="shared" si="94"/>
        <v>57.723745582726515</v>
      </c>
      <c r="BS95" s="10">
        <f t="shared" si="94"/>
        <v>222.75270458519444</v>
      </c>
      <c r="BT95" s="10">
        <f t="shared" si="94"/>
        <v>232.62351056742583</v>
      </c>
      <c r="BU95" s="10">
        <f t="shared" si="94"/>
        <v>0</v>
      </c>
      <c r="BV95" s="10">
        <f t="shared" si="94"/>
        <v>0</v>
      </c>
      <c r="BW95" s="10">
        <f t="shared" si="94"/>
        <v>0</v>
      </c>
      <c r="BX95" s="89">
        <f t="shared" si="94"/>
        <v>0</v>
      </c>
      <c r="BY95" s="89">
        <f t="shared" si="94"/>
        <v>0</v>
      </c>
      <c r="BZ95" s="89">
        <f t="shared" si="94"/>
        <v>0</v>
      </c>
      <c r="CA95" s="10">
        <f t="shared" si="94"/>
        <v>89599.324286672461</v>
      </c>
      <c r="CB95" s="10" t="e">
        <f t="shared" si="94"/>
        <v>#REF!</v>
      </c>
      <c r="CC95" s="114" t="e">
        <f t="shared" si="68"/>
        <v>#REF!</v>
      </c>
    </row>
    <row r="96" spans="1:82">
      <c r="A96" s="22" t="s">
        <v>173</v>
      </c>
      <c r="B96" s="8">
        <v>0</v>
      </c>
      <c r="C96" s="8">
        <f>('June 2024 YTD'!C96*2)*1.03</f>
        <v>19332.584999999999</v>
      </c>
      <c r="D96" s="8">
        <f>('June 2024 YTD'!D96*2)*1.03</f>
        <v>412</v>
      </c>
      <c r="E96" s="8">
        <f>('June 2024 YTD'!E96*2)*1.03</f>
        <v>0</v>
      </c>
      <c r="F96" s="8">
        <f>('June 2024 YTD'!F96*2)*1.03</f>
        <v>0</v>
      </c>
      <c r="G96" s="8">
        <f>('June 2024 YTD'!G96*2)*1.03</f>
        <v>247.20000000000002</v>
      </c>
      <c r="H96" s="8">
        <f>('June 2024 YTD'!H96*2)*1.03</f>
        <v>0</v>
      </c>
      <c r="I96" s="8">
        <f>('June 2024 YTD'!I96*2)*1.03</f>
        <v>0</v>
      </c>
      <c r="J96" s="8">
        <f>('June 2024 YTD'!J96*2)*1.03</f>
        <v>0</v>
      </c>
      <c r="K96" s="8">
        <f>('June 2024 YTD'!K96*2)*1.03</f>
        <v>0</v>
      </c>
      <c r="L96" s="8">
        <f>('June 2024 YTD'!L96*2)*1.03</f>
        <v>0</v>
      </c>
      <c r="M96" s="8">
        <f>('June 2024 YTD'!M96*2)*1.03</f>
        <v>0</v>
      </c>
      <c r="N96" s="8">
        <f>('June 2024 YTD'!N96*2)*1.03</f>
        <v>0</v>
      </c>
      <c r="O96" s="8">
        <f>('June 2024 YTD'!O96*2)*1.03</f>
        <v>0</v>
      </c>
      <c r="P96" s="8">
        <f>('June 2024 YTD'!P96*2)*1.03</f>
        <v>0</v>
      </c>
      <c r="Q96" s="8">
        <f>('June 2024 YTD'!Q96*2)*1.03</f>
        <v>0</v>
      </c>
      <c r="R96" s="8">
        <f>('June 2024 YTD'!R96*2)*1.03</f>
        <v>0</v>
      </c>
      <c r="S96" s="8">
        <f>('June 2024 YTD'!S96*2)*1.03</f>
        <v>0</v>
      </c>
      <c r="T96" s="8">
        <f>('June 2024 YTD'!T96*2)*1.03</f>
        <v>0</v>
      </c>
      <c r="U96" s="8">
        <f>('June 2024 YTD'!U96*2)*1.03</f>
        <v>0</v>
      </c>
      <c r="V96" s="8">
        <f>('June 2024 YTD'!V96*2)*1.03</f>
        <v>0</v>
      </c>
      <c r="W96" s="8">
        <f>('June 2024 YTD'!W96*2)*1.03</f>
        <v>0</v>
      </c>
      <c r="X96" s="8">
        <f>('June 2024 YTD'!X96*2)*1.03</f>
        <v>0</v>
      </c>
      <c r="Y96" s="8">
        <f>('June 2024 YTD'!Y96*2)*1.03</f>
        <v>0</v>
      </c>
      <c r="Z96" s="8">
        <f>('June 2024 YTD'!Z96*2)*1.03</f>
        <v>0</v>
      </c>
      <c r="AA96" s="8">
        <f>('June 2024 YTD'!AA96*2)*1.03</f>
        <v>0</v>
      </c>
      <c r="AB96" s="8">
        <f>('June 2024 YTD'!AB96*2)*1.03</f>
        <v>0</v>
      </c>
      <c r="AC96" s="8">
        <f>('June 2024 YTD'!AC96*2)*1.03</f>
        <v>0</v>
      </c>
      <c r="AD96" s="8">
        <f>('June 2024 YTD'!AD96*2)*1.03</f>
        <v>0</v>
      </c>
      <c r="AE96" s="8">
        <v>0</v>
      </c>
      <c r="AF96" s="8">
        <f>('June 2024 YTD'!AE96*2)*1.03</f>
        <v>0</v>
      </c>
      <c r="AG96" s="8">
        <f>('June 2024 YTD'!AF96*2)*1.03</f>
        <v>0</v>
      </c>
      <c r="AH96" s="8">
        <f>('June 2024 YTD'!AG96*2)*1.03</f>
        <v>0</v>
      </c>
      <c r="AI96" s="8">
        <f>('June 2024 YTD'!AG96*2)*1.03</f>
        <v>0</v>
      </c>
      <c r="AJ96" s="88">
        <f>('June 2024 YTD'!AD96*2)*1.03</f>
        <v>0</v>
      </c>
      <c r="AK96" s="88">
        <f>('June 2024 YTD'!AE96*2)*1.03</f>
        <v>0</v>
      </c>
      <c r="AL96" s="88">
        <f>('June 2024 YTD'!AF96*2)*1.03</f>
        <v>0</v>
      </c>
      <c r="AM96" s="88">
        <f>('June 2024 YTD'!AG96*2)*1.03</f>
        <v>0</v>
      </c>
      <c r="AN96" s="88">
        <f>('June 2024 YTD'!AF96*2)*1.03</f>
        <v>0</v>
      </c>
      <c r="AO96" s="88">
        <f>('June 2024 YTD'!AG96*2)*1.03</f>
        <v>0</v>
      </c>
      <c r="AP96" s="88">
        <f>('June 2024 YTD'!AH96*2)*1.03</f>
        <v>0</v>
      </c>
      <c r="AQ96" s="8">
        <f>('June 2024 YTD'!AI96*2)*1.03</f>
        <v>0</v>
      </c>
      <c r="AR96" s="8">
        <f>('June 2024 YTD'!AJ96*2)*1.03</f>
        <v>0</v>
      </c>
      <c r="AS96" s="88">
        <f>('June 2024 YTD'!AK96*2)*1.03</f>
        <v>0</v>
      </c>
      <c r="AT96" s="8">
        <f>('June 2024 YTD'!AK96*2)*1.03</f>
        <v>0</v>
      </c>
      <c r="AU96" s="88">
        <v>0</v>
      </c>
      <c r="AV96" s="88">
        <v>0</v>
      </c>
      <c r="AW96" s="8">
        <f>('June 2024 YTD'!AN96*2)*1.03</f>
        <v>0</v>
      </c>
      <c r="AX96" s="8">
        <f>('June 2024 YTD'!AO96*2)*1.03</f>
        <v>0</v>
      </c>
      <c r="AY96" s="88">
        <v>0</v>
      </c>
      <c r="AZ96" s="8">
        <f>('June 2024 YTD'!AP96*2)*1.03</f>
        <v>0</v>
      </c>
      <c r="BA96" s="8">
        <f>('June 2024 YTD'!AQ96*2)*1.03</f>
        <v>0</v>
      </c>
      <c r="BB96" s="8">
        <f>('June 2024 YTD'!AR96*2)*1.03</f>
        <v>0</v>
      </c>
      <c r="BC96" s="88">
        <v>0</v>
      </c>
      <c r="BD96" s="88">
        <v>0</v>
      </c>
      <c r="BE96" s="88">
        <v>0</v>
      </c>
      <c r="BF96" s="88">
        <v>0</v>
      </c>
      <c r="BG96" s="8">
        <f>('June 2024 YTD'!AS96*2)*1.03</f>
        <v>0</v>
      </c>
      <c r="BH96" s="8">
        <f>('June 2024 YTD'!AT96*2)*1.03</f>
        <v>0</v>
      </c>
      <c r="BI96" s="8">
        <f>('June 2024 YTD'!AU96*2)*1.03</f>
        <v>0</v>
      </c>
      <c r="BJ96" s="8">
        <f>('June 2024 YTD'!AV96*2)*1.03</f>
        <v>0</v>
      </c>
      <c r="BK96" s="8">
        <f>('June 2024 YTD'!AW96*2)*1.03</f>
        <v>0</v>
      </c>
      <c r="BL96" s="8">
        <f>('June 2024 YTD'!AX96*2)*1.03</f>
        <v>0</v>
      </c>
      <c r="BM96" s="8">
        <f>('June 2024 YTD'!AY96*2)*1.03</f>
        <v>0</v>
      </c>
      <c r="BN96" s="8">
        <f>('June 2024 YTD'!AZ96*2)*1.03</f>
        <v>0</v>
      </c>
      <c r="BO96" s="8">
        <f>('June 2024 YTD'!BA96*2)*1.03</f>
        <v>206</v>
      </c>
      <c r="BP96" s="8">
        <f>('June 2024 YTD'!BB96*2)*1.03</f>
        <v>0</v>
      </c>
      <c r="BQ96" s="8">
        <f>('June 2024 YTD'!BC96*2)*1.03</f>
        <v>0</v>
      </c>
      <c r="BR96" s="8">
        <f>('June 2024 YTD'!BD96*2)*1.03</f>
        <v>0</v>
      </c>
      <c r="BS96" s="8">
        <f>('June 2024 YTD'!BE96*2)*1.03</f>
        <v>0</v>
      </c>
      <c r="BT96" s="8">
        <f>('June 2024 YTD'!BF96*2)*1.03</f>
        <v>0</v>
      </c>
      <c r="BU96" s="8">
        <f>('June 2024 YTD'!BG96*2)*1.03</f>
        <v>0</v>
      </c>
      <c r="BV96" s="8">
        <f>('June 2024 YTD'!BH96*2)*1.03</f>
        <v>0</v>
      </c>
      <c r="BW96" s="8">
        <f>('June 2024 YTD'!BI96*2)*1.03</f>
        <v>0</v>
      </c>
      <c r="BX96" s="88">
        <v>0</v>
      </c>
      <c r="BY96" s="88">
        <v>0</v>
      </c>
      <c r="BZ96" s="88">
        <v>0</v>
      </c>
      <c r="CA96" s="8">
        <f t="shared" si="89"/>
        <v>20197.785</v>
      </c>
      <c r="CB96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96" s="85" t="e">
        <f t="shared" si="68"/>
        <v>#REF!</v>
      </c>
    </row>
    <row r="97" spans="1:81">
      <c r="A97" s="6" t="s">
        <v>174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87"/>
      <c r="AK97" s="87"/>
      <c r="AL97" s="87"/>
      <c r="AM97" s="87"/>
      <c r="AN97" s="87"/>
      <c r="AO97" s="87"/>
      <c r="AP97" s="87"/>
      <c r="AQ97" s="4"/>
      <c r="AR97" s="4"/>
      <c r="AS97" s="87"/>
      <c r="AT97" s="4"/>
      <c r="AU97" s="87"/>
      <c r="AV97" s="87"/>
      <c r="AW97" s="4"/>
      <c r="AX97" s="4"/>
      <c r="AY97" s="87"/>
      <c r="AZ97" s="4"/>
      <c r="BA97" s="4"/>
      <c r="BB97" s="4"/>
      <c r="BC97" s="87"/>
      <c r="BD97" s="87"/>
      <c r="BE97" s="87"/>
      <c r="BF97" s="87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87"/>
      <c r="BY97" s="87"/>
      <c r="BZ97" s="87"/>
      <c r="CA97" s="4"/>
      <c r="CC97" s="85"/>
    </row>
    <row r="98" spans="1:81">
      <c r="A98" s="78" t="s">
        <v>175</v>
      </c>
      <c r="B98" s="8">
        <v>0</v>
      </c>
      <c r="C98" s="8">
        <f>C229</f>
        <v>4502.7084864502294</v>
      </c>
      <c r="D98" s="8">
        <f t="shared" ref="D98:BP98" si="95">D229</f>
        <v>2583.670630878973</v>
      </c>
      <c r="E98" s="8">
        <f t="shared" si="95"/>
        <v>336.48293371014148</v>
      </c>
      <c r="F98" s="8">
        <f t="shared" si="95"/>
        <v>443.89740676552208</v>
      </c>
      <c r="G98" s="8">
        <f t="shared" si="95"/>
        <v>0</v>
      </c>
      <c r="H98" s="8">
        <f t="shared" si="95"/>
        <v>477.5502787585761</v>
      </c>
      <c r="I98" s="8">
        <f t="shared" si="95"/>
        <v>953.74986401539024</v>
      </c>
      <c r="J98" s="8">
        <f t="shared" si="95"/>
        <v>2328.1606279439557</v>
      </c>
      <c r="K98" s="8">
        <f t="shared" si="95"/>
        <v>486.63884350772059</v>
      </c>
      <c r="L98" s="8">
        <f t="shared" si="95"/>
        <v>118.17423484907812</v>
      </c>
      <c r="M98" s="8">
        <f t="shared" si="95"/>
        <v>465.39403724271779</v>
      </c>
      <c r="N98" s="8">
        <f t="shared" si="95"/>
        <v>1339.0409086705597</v>
      </c>
      <c r="O98" s="8">
        <f t="shared" si="95"/>
        <v>172.86587511534074</v>
      </c>
      <c r="P98" s="8">
        <f t="shared" si="95"/>
        <v>9.5693200633310056</v>
      </c>
      <c r="Q98" s="8">
        <f t="shared" si="95"/>
        <v>14.079262772604233</v>
      </c>
      <c r="R98" s="8">
        <f t="shared" si="95"/>
        <v>14.079262772604233</v>
      </c>
      <c r="S98" s="8">
        <f t="shared" si="95"/>
        <v>10.507937581504621</v>
      </c>
      <c r="T98" s="8">
        <f t="shared" si="95"/>
        <v>0</v>
      </c>
      <c r="U98" s="8">
        <f t="shared" si="95"/>
        <v>424.71298041846137</v>
      </c>
      <c r="V98" s="8">
        <f t="shared" si="95"/>
        <v>0</v>
      </c>
      <c r="W98" s="8">
        <f t="shared" si="95"/>
        <v>0</v>
      </c>
      <c r="X98" s="8">
        <f t="shared" si="95"/>
        <v>890.51909364476762</v>
      </c>
      <c r="Y98" s="8">
        <f t="shared" si="95"/>
        <v>0</v>
      </c>
      <c r="Z98" s="8">
        <f t="shared" si="95"/>
        <v>232.47953407446502</v>
      </c>
      <c r="AA98" s="8">
        <f t="shared" si="95"/>
        <v>203.8860394354688</v>
      </c>
      <c r="AB98" s="8">
        <f t="shared" si="95"/>
        <v>1498.4456349886786</v>
      </c>
      <c r="AC98" s="8">
        <f t="shared" si="95"/>
        <v>0</v>
      </c>
      <c r="AD98" s="8">
        <f t="shared" si="95"/>
        <v>0</v>
      </c>
      <c r="AE98" s="8">
        <v>0</v>
      </c>
      <c r="AF98" s="8">
        <f t="shared" si="95"/>
        <v>0</v>
      </c>
      <c r="AG98" s="8">
        <f t="shared" si="95"/>
        <v>1444.3492155875995</v>
      </c>
      <c r="AH98" s="8">
        <f t="shared" si="95"/>
        <v>640.8697269207853</v>
      </c>
      <c r="AI98" s="8">
        <f t="shared" si="95"/>
        <v>0</v>
      </c>
      <c r="AJ98" s="88">
        <f t="shared" si="95"/>
        <v>0</v>
      </c>
      <c r="AK98" s="88">
        <f t="shared" si="95"/>
        <v>0</v>
      </c>
      <c r="AL98" s="88">
        <f t="shared" si="95"/>
        <v>0</v>
      </c>
      <c r="AM98" s="88">
        <f t="shared" si="95"/>
        <v>0</v>
      </c>
      <c r="AN98" s="88">
        <f t="shared" si="95"/>
        <v>0</v>
      </c>
      <c r="AO98" s="88">
        <f t="shared" si="95"/>
        <v>0</v>
      </c>
      <c r="AP98" s="88">
        <f t="shared" si="95"/>
        <v>0</v>
      </c>
      <c r="AQ98" s="8">
        <f t="shared" si="95"/>
        <v>5.2425222356526335</v>
      </c>
      <c r="AR98" s="8">
        <f t="shared" si="95"/>
        <v>206.58742643899282</v>
      </c>
      <c r="AS98" s="88">
        <f t="shared" si="95"/>
        <v>0</v>
      </c>
      <c r="AT98" s="8">
        <f t="shared" si="95"/>
        <v>115.51863406595278</v>
      </c>
      <c r="AU98" s="88">
        <f t="shared" si="95"/>
        <v>0</v>
      </c>
      <c r="AV98" s="88">
        <f t="shared" si="95"/>
        <v>0</v>
      </c>
      <c r="AW98" s="8">
        <f t="shared" si="95"/>
        <v>272.01593538875363</v>
      </c>
      <c r="AX98" s="8">
        <f t="shared" si="95"/>
        <v>0</v>
      </c>
      <c r="AY98" s="88">
        <f t="shared" si="95"/>
        <v>0</v>
      </c>
      <c r="AZ98" s="8">
        <f t="shared" si="95"/>
        <v>43.084833395188895</v>
      </c>
      <c r="BA98" s="8">
        <f t="shared" si="95"/>
        <v>36.239793445581299</v>
      </c>
      <c r="BB98" s="8">
        <f t="shared" si="95"/>
        <v>0</v>
      </c>
      <c r="BC98" s="88">
        <f t="shared" si="95"/>
        <v>0</v>
      </c>
      <c r="BD98" s="88">
        <f t="shared" si="95"/>
        <v>0</v>
      </c>
      <c r="BE98" s="88">
        <f t="shared" si="95"/>
        <v>0</v>
      </c>
      <c r="BF98" s="88">
        <f t="shared" si="95"/>
        <v>0</v>
      </c>
      <c r="BG98" s="8">
        <f t="shared" si="95"/>
        <v>0</v>
      </c>
      <c r="BH98" s="8">
        <f>0</f>
        <v>0</v>
      </c>
      <c r="BI98" s="8">
        <f t="shared" si="95"/>
        <v>0</v>
      </c>
      <c r="BJ98" s="8">
        <f t="shared" si="95"/>
        <v>82.140479395291038</v>
      </c>
      <c r="BK98" s="8">
        <f t="shared" si="95"/>
        <v>124.30958838250567</v>
      </c>
      <c r="BL98" s="8">
        <f t="shared" si="95"/>
        <v>0</v>
      </c>
      <c r="BM98" s="8">
        <f t="shared" si="95"/>
        <v>0</v>
      </c>
      <c r="BN98" s="8">
        <f t="shared" si="95"/>
        <v>0</v>
      </c>
      <c r="BO98" s="8">
        <f t="shared" si="95"/>
        <v>0</v>
      </c>
      <c r="BP98" s="8">
        <f t="shared" si="95"/>
        <v>75.661729208873155</v>
      </c>
      <c r="BQ98" s="8">
        <f t="shared" ref="BQ98:BZ98" si="96">BQ229</f>
        <v>69.526375675445621</v>
      </c>
      <c r="BR98" s="8">
        <f t="shared" si="96"/>
        <v>57.507492820783476</v>
      </c>
      <c r="BS98" s="8">
        <f t="shared" si="96"/>
        <v>231.08305435230426</v>
      </c>
      <c r="BT98" s="8">
        <f t="shared" si="96"/>
        <v>241.38495394201468</v>
      </c>
      <c r="BU98" s="8">
        <f t="shared" si="96"/>
        <v>0</v>
      </c>
      <c r="BV98" s="8">
        <f t="shared" si="96"/>
        <v>0</v>
      </c>
      <c r="BW98" s="8">
        <f t="shared" si="96"/>
        <v>0</v>
      </c>
      <c r="BX98" s="88">
        <f t="shared" si="96"/>
        <v>0</v>
      </c>
      <c r="BY98" s="88">
        <f t="shared" si="96"/>
        <v>0</v>
      </c>
      <c r="BZ98" s="88">
        <f t="shared" si="96"/>
        <v>0</v>
      </c>
      <c r="CA98" s="8">
        <f t="shared" si="89"/>
        <v>21152.134954915815</v>
      </c>
      <c r="CB98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98" s="85" t="e">
        <f t="shared" si="68"/>
        <v>#REF!</v>
      </c>
    </row>
    <row r="99" spans="1:81">
      <c r="A99" s="9" t="s">
        <v>176</v>
      </c>
      <c r="B99" s="10">
        <f t="shared" ref="B99:BN99" si="97">SUM(B98)</f>
        <v>0</v>
      </c>
      <c r="C99" s="10">
        <f t="shared" si="97"/>
        <v>4502.7084864502294</v>
      </c>
      <c r="D99" s="10">
        <f t="shared" si="97"/>
        <v>2583.670630878973</v>
      </c>
      <c r="E99" s="10">
        <f t="shared" si="97"/>
        <v>336.48293371014148</v>
      </c>
      <c r="F99" s="10">
        <f t="shared" si="97"/>
        <v>443.89740676552208</v>
      </c>
      <c r="G99" s="10">
        <f t="shared" si="97"/>
        <v>0</v>
      </c>
      <c r="H99" s="10">
        <f t="shared" si="97"/>
        <v>477.5502787585761</v>
      </c>
      <c r="I99" s="10">
        <f t="shared" si="97"/>
        <v>953.74986401539024</v>
      </c>
      <c r="J99" s="10">
        <f t="shared" si="97"/>
        <v>2328.1606279439557</v>
      </c>
      <c r="K99" s="10">
        <f t="shared" si="97"/>
        <v>486.63884350772059</v>
      </c>
      <c r="L99" s="10">
        <f t="shared" si="97"/>
        <v>118.17423484907812</v>
      </c>
      <c r="M99" s="10">
        <f t="shared" si="97"/>
        <v>465.39403724271779</v>
      </c>
      <c r="N99" s="10">
        <f t="shared" si="97"/>
        <v>1339.0409086705597</v>
      </c>
      <c r="O99" s="10">
        <f t="shared" si="97"/>
        <v>172.86587511534074</v>
      </c>
      <c r="P99" s="10">
        <f t="shared" si="97"/>
        <v>9.5693200633310056</v>
      </c>
      <c r="Q99" s="10">
        <f t="shared" si="97"/>
        <v>14.079262772604233</v>
      </c>
      <c r="R99" s="10">
        <f t="shared" si="97"/>
        <v>14.079262772604233</v>
      </c>
      <c r="S99" s="10">
        <f t="shared" si="97"/>
        <v>10.507937581504621</v>
      </c>
      <c r="T99" s="10">
        <f t="shared" si="97"/>
        <v>0</v>
      </c>
      <c r="U99" s="10">
        <f t="shared" si="97"/>
        <v>424.71298041846137</v>
      </c>
      <c r="V99" s="10">
        <f t="shared" si="97"/>
        <v>0</v>
      </c>
      <c r="W99" s="10">
        <f t="shared" si="97"/>
        <v>0</v>
      </c>
      <c r="X99" s="10">
        <f t="shared" si="97"/>
        <v>890.51909364476762</v>
      </c>
      <c r="Y99" s="10">
        <f t="shared" si="97"/>
        <v>0</v>
      </c>
      <c r="Z99" s="10">
        <f t="shared" si="97"/>
        <v>232.47953407446502</v>
      </c>
      <c r="AA99" s="10">
        <f t="shared" si="97"/>
        <v>203.8860394354688</v>
      </c>
      <c r="AB99" s="10">
        <f t="shared" si="97"/>
        <v>1498.4456349886786</v>
      </c>
      <c r="AC99" s="10">
        <f t="shared" si="97"/>
        <v>0</v>
      </c>
      <c r="AD99" s="10">
        <f t="shared" si="97"/>
        <v>0</v>
      </c>
      <c r="AE99" s="10">
        <f t="shared" ref="AE99" si="98">SUM(AE98)</f>
        <v>0</v>
      </c>
      <c r="AF99" s="10">
        <f t="shared" si="97"/>
        <v>0</v>
      </c>
      <c r="AG99" s="10">
        <f t="shared" si="97"/>
        <v>1444.3492155875995</v>
      </c>
      <c r="AH99" s="10">
        <f t="shared" si="97"/>
        <v>640.8697269207853</v>
      </c>
      <c r="AI99" s="10">
        <f t="shared" si="97"/>
        <v>0</v>
      </c>
      <c r="AJ99" s="89">
        <f t="shared" si="97"/>
        <v>0</v>
      </c>
      <c r="AK99" s="89">
        <f t="shared" si="97"/>
        <v>0</v>
      </c>
      <c r="AL99" s="89">
        <f t="shared" si="97"/>
        <v>0</v>
      </c>
      <c r="AM99" s="89">
        <f t="shared" si="97"/>
        <v>0</v>
      </c>
      <c r="AN99" s="89">
        <f t="shared" si="97"/>
        <v>0</v>
      </c>
      <c r="AO99" s="89">
        <f t="shared" si="97"/>
        <v>0</v>
      </c>
      <c r="AP99" s="89">
        <f t="shared" si="97"/>
        <v>0</v>
      </c>
      <c r="AQ99" s="10">
        <f t="shared" si="97"/>
        <v>5.2425222356526335</v>
      </c>
      <c r="AR99" s="10">
        <f t="shared" si="97"/>
        <v>206.58742643899282</v>
      </c>
      <c r="AS99" s="89">
        <f t="shared" si="97"/>
        <v>0</v>
      </c>
      <c r="AT99" s="10">
        <f t="shared" si="97"/>
        <v>115.51863406595278</v>
      </c>
      <c r="AU99" s="89">
        <f t="shared" si="97"/>
        <v>0</v>
      </c>
      <c r="AV99" s="89">
        <f t="shared" si="97"/>
        <v>0</v>
      </c>
      <c r="AW99" s="10">
        <f t="shared" si="97"/>
        <v>272.01593538875363</v>
      </c>
      <c r="AX99" s="10">
        <f t="shared" si="97"/>
        <v>0</v>
      </c>
      <c r="AY99" s="89">
        <f t="shared" si="97"/>
        <v>0</v>
      </c>
      <c r="AZ99" s="10">
        <f t="shared" si="97"/>
        <v>43.084833395188895</v>
      </c>
      <c r="BA99" s="10">
        <f t="shared" si="97"/>
        <v>36.239793445581299</v>
      </c>
      <c r="BB99" s="10">
        <f t="shared" si="97"/>
        <v>0</v>
      </c>
      <c r="BC99" s="89">
        <f t="shared" si="97"/>
        <v>0</v>
      </c>
      <c r="BD99" s="89">
        <f t="shared" si="97"/>
        <v>0</v>
      </c>
      <c r="BE99" s="89">
        <f t="shared" si="97"/>
        <v>0</v>
      </c>
      <c r="BF99" s="89">
        <f t="shared" si="97"/>
        <v>0</v>
      </c>
      <c r="BG99" s="10">
        <f t="shared" si="97"/>
        <v>0</v>
      </c>
      <c r="BH99" s="10">
        <f t="shared" si="97"/>
        <v>0</v>
      </c>
      <c r="BI99" s="10">
        <f t="shared" si="97"/>
        <v>0</v>
      </c>
      <c r="BJ99" s="10">
        <f t="shared" si="97"/>
        <v>82.140479395291038</v>
      </c>
      <c r="BK99" s="10">
        <f t="shared" si="97"/>
        <v>124.30958838250567</v>
      </c>
      <c r="BL99" s="10">
        <f t="shared" si="97"/>
        <v>0</v>
      </c>
      <c r="BM99" s="10">
        <f t="shared" si="97"/>
        <v>0</v>
      </c>
      <c r="BN99" s="10">
        <f t="shared" si="97"/>
        <v>0</v>
      </c>
      <c r="BO99" s="10">
        <f t="shared" ref="BO99:CB99" si="99">SUM(BO98)</f>
        <v>0</v>
      </c>
      <c r="BP99" s="10">
        <f t="shared" si="99"/>
        <v>75.661729208873155</v>
      </c>
      <c r="BQ99" s="10">
        <f t="shared" si="99"/>
        <v>69.526375675445621</v>
      </c>
      <c r="BR99" s="10">
        <f t="shared" si="99"/>
        <v>57.507492820783476</v>
      </c>
      <c r="BS99" s="10">
        <f t="shared" si="99"/>
        <v>231.08305435230426</v>
      </c>
      <c r="BT99" s="10">
        <f t="shared" si="99"/>
        <v>241.38495394201468</v>
      </c>
      <c r="BU99" s="10">
        <f t="shared" si="99"/>
        <v>0</v>
      </c>
      <c r="BV99" s="10">
        <f t="shared" si="99"/>
        <v>0</v>
      </c>
      <c r="BW99" s="10">
        <f t="shared" si="99"/>
        <v>0</v>
      </c>
      <c r="BX99" s="89">
        <f t="shared" si="99"/>
        <v>0</v>
      </c>
      <c r="BY99" s="89">
        <f t="shared" si="99"/>
        <v>0</v>
      </c>
      <c r="BZ99" s="89">
        <f t="shared" si="99"/>
        <v>0</v>
      </c>
      <c r="CA99" s="10">
        <f t="shared" si="99"/>
        <v>21152.134954915815</v>
      </c>
      <c r="CB99" s="10" t="e">
        <f t="shared" si="99"/>
        <v>#REF!</v>
      </c>
      <c r="CC99" s="85" t="e">
        <f t="shared" si="68"/>
        <v>#REF!</v>
      </c>
    </row>
    <row r="100" spans="1:81">
      <c r="A100" s="6" t="s">
        <v>177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87"/>
      <c r="AK100" s="87"/>
      <c r="AL100" s="87"/>
      <c r="AM100" s="87"/>
      <c r="AN100" s="87"/>
      <c r="AO100" s="87"/>
      <c r="AP100" s="87"/>
      <c r="AQ100" s="4"/>
      <c r="AR100" s="4"/>
      <c r="AS100" s="87"/>
      <c r="AT100" s="4"/>
      <c r="AU100" s="87"/>
      <c r="AV100" s="87"/>
      <c r="AW100" s="4"/>
      <c r="AX100" s="4"/>
      <c r="AY100" s="87"/>
      <c r="AZ100" s="4"/>
      <c r="BA100" s="4"/>
      <c r="BB100" s="4"/>
      <c r="BC100" s="87"/>
      <c r="BD100" s="87"/>
      <c r="BE100" s="87"/>
      <c r="BF100" s="87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87"/>
      <c r="BY100" s="87"/>
      <c r="BZ100" s="87"/>
      <c r="CA100" s="4"/>
      <c r="CC100" s="85"/>
    </row>
    <row r="101" spans="1:81">
      <c r="A101" s="78" t="s">
        <v>178</v>
      </c>
      <c r="B101" s="8">
        <v>0</v>
      </c>
      <c r="C101" s="8">
        <f>('June 2024 YTD'!C101*2)*1.03</f>
        <v>0</v>
      </c>
      <c r="D101" s="8">
        <f>('June 2024 YTD'!D101*2)*1.03</f>
        <v>0</v>
      </c>
      <c r="E101" s="8">
        <f>('June 2024 YTD'!E101*2)*1.03</f>
        <v>0</v>
      </c>
      <c r="F101" s="8">
        <f>('June 2024 YTD'!F101*2)*1.03</f>
        <v>0</v>
      </c>
      <c r="G101" s="8">
        <f>('June 2024 YTD'!G101*2)*1.03</f>
        <v>3090</v>
      </c>
      <c r="H101" s="8">
        <f>('June 2024 YTD'!H101*2)*1.03</f>
        <v>0</v>
      </c>
      <c r="I101" s="8">
        <f>('June 2024 YTD'!I101*2)*1.03</f>
        <v>0</v>
      </c>
      <c r="J101" s="8">
        <f>('June 2024 YTD'!J101*2)*1.03</f>
        <v>0</v>
      </c>
      <c r="K101" s="8">
        <f>('June 2024 YTD'!K101*2)*1.03</f>
        <v>0</v>
      </c>
      <c r="L101" s="8">
        <f>('June 2024 YTD'!L101*2)*1.03</f>
        <v>0</v>
      </c>
      <c r="M101" s="8">
        <f>('June 2024 YTD'!M101*2)*1.03</f>
        <v>0</v>
      </c>
      <c r="N101" s="8">
        <f>('June 2024 YTD'!N101*2)*1.03</f>
        <v>2125.92</v>
      </c>
      <c r="O101" s="8">
        <f>('June 2024 YTD'!O101*2)*1.03</f>
        <v>0</v>
      </c>
      <c r="P101" s="8">
        <f>('June 2024 YTD'!P101*2)*1.03</f>
        <v>0</v>
      </c>
      <c r="Q101" s="8">
        <f>('June 2024 YTD'!Q101*2)*1.03</f>
        <v>0</v>
      </c>
      <c r="R101" s="8">
        <f>('June 2024 YTD'!R101*2)*1.03</f>
        <v>0</v>
      </c>
      <c r="S101" s="8">
        <f>('June 2024 YTD'!S101*2)*1.03</f>
        <v>0</v>
      </c>
      <c r="T101" s="8">
        <f>('June 2024 YTD'!T101*2)*1.03</f>
        <v>0</v>
      </c>
      <c r="U101" s="8">
        <f>('June 2024 YTD'!U101*2)*1.03</f>
        <v>0</v>
      </c>
      <c r="V101" s="8">
        <f>('June 2024 YTD'!V101*2)*1.03</f>
        <v>0</v>
      </c>
      <c r="W101" s="8">
        <f>('June 2024 YTD'!W101*2)*1.03</f>
        <v>0</v>
      </c>
      <c r="X101" s="8">
        <f>('June 2024 YTD'!X101*2)*1.03</f>
        <v>0</v>
      </c>
      <c r="Y101" s="8">
        <f>('June 2024 YTD'!Y101*2)*1.03</f>
        <v>0</v>
      </c>
      <c r="Z101" s="8">
        <f>('June 2024 YTD'!Z101*2)*1.03</f>
        <v>0</v>
      </c>
      <c r="AA101" s="8">
        <f>('June 2024 YTD'!AA101*2)*1.03</f>
        <v>0</v>
      </c>
      <c r="AB101" s="8">
        <f>('June 2024 YTD'!AB101*2)*1.03</f>
        <v>0</v>
      </c>
      <c r="AC101" s="8">
        <f>('June 2024 YTD'!AC101*2)*1.03</f>
        <v>0</v>
      </c>
      <c r="AD101" s="8">
        <f>('June 2024 YTD'!AD101*2)*1.03</f>
        <v>0</v>
      </c>
      <c r="AE101" s="8">
        <v>0</v>
      </c>
      <c r="AF101" s="8">
        <f>('June 2024 YTD'!AE101*2)*1.03</f>
        <v>0</v>
      </c>
      <c r="AG101" s="8">
        <f>('June 2024 YTD'!AF101*2)*1.03</f>
        <v>0</v>
      </c>
      <c r="AH101" s="8">
        <f>('June 2024 YTD'!AG101*2)*1.03</f>
        <v>0</v>
      </c>
      <c r="AI101" s="8">
        <v>0</v>
      </c>
      <c r="AJ101" s="88">
        <v>0</v>
      </c>
      <c r="AK101" s="88">
        <v>0</v>
      </c>
      <c r="AL101" s="88">
        <v>0</v>
      </c>
      <c r="AM101" s="88">
        <v>0</v>
      </c>
      <c r="AN101" s="88">
        <v>0</v>
      </c>
      <c r="AO101" s="88">
        <v>0</v>
      </c>
      <c r="AP101" s="88">
        <v>0</v>
      </c>
      <c r="AQ101" s="8">
        <f>('June 2024 YTD'!AI101*2)*1.03</f>
        <v>0</v>
      </c>
      <c r="AR101" s="8">
        <f>('June 2024 YTD'!AJ101*2)*1.03</f>
        <v>0</v>
      </c>
      <c r="AS101" s="88">
        <v>0</v>
      </c>
      <c r="AT101" s="8">
        <f>('June 2024 YTD'!AK101*2)*1.03</f>
        <v>0</v>
      </c>
      <c r="AU101" s="88">
        <v>0</v>
      </c>
      <c r="AV101" s="88">
        <v>0</v>
      </c>
      <c r="AW101" s="8">
        <f>('June 2024 YTD'!AN101*2)*1.03</f>
        <v>0</v>
      </c>
      <c r="AX101" s="8">
        <f>('June 2024 YTD'!AO101*2)*1.03</f>
        <v>0</v>
      </c>
      <c r="AY101" s="88">
        <v>0</v>
      </c>
      <c r="AZ101" s="8">
        <f>('June 2024 YTD'!AP101*2)*1.03</f>
        <v>0</v>
      </c>
      <c r="BA101" s="8">
        <f>('June 2024 YTD'!AQ101*2)*1.03</f>
        <v>0</v>
      </c>
      <c r="BB101" s="8">
        <f>('June 2024 YTD'!AR101*2)*1.03</f>
        <v>0</v>
      </c>
      <c r="BC101" s="88">
        <v>0</v>
      </c>
      <c r="BD101" s="88">
        <v>0</v>
      </c>
      <c r="BE101" s="88">
        <v>0</v>
      </c>
      <c r="BF101" s="88">
        <v>0</v>
      </c>
      <c r="BG101" s="8">
        <f>('June 2024 YTD'!AS101*2)*1.03</f>
        <v>0</v>
      </c>
      <c r="BH101" s="8">
        <f>('June 2024 YTD'!AT101*2)*1.03</f>
        <v>0</v>
      </c>
      <c r="BI101" s="8">
        <f>('June 2024 YTD'!AU101*2)*1.03</f>
        <v>0</v>
      </c>
      <c r="BJ101" s="8">
        <f>('June 2024 YTD'!AV101*2)*1.03</f>
        <v>0</v>
      </c>
      <c r="BK101" s="8">
        <f>('June 2024 YTD'!AW101*2)*1.03</f>
        <v>0</v>
      </c>
      <c r="BL101" s="8">
        <f>('June 2024 YTD'!AX101*2)*1.03</f>
        <v>0</v>
      </c>
      <c r="BM101" s="8">
        <f>('June 2024 YTD'!AY101*2)*1.03</f>
        <v>0</v>
      </c>
      <c r="BN101" s="8">
        <f>('June 2024 YTD'!AZ101*2)*1.03</f>
        <v>0</v>
      </c>
      <c r="BO101" s="8">
        <f>('June 2024 YTD'!BA101*2)*1.03</f>
        <v>1704.7323999999999</v>
      </c>
      <c r="BP101" s="8">
        <f>('June 2024 YTD'!BB101*2)*1.03</f>
        <v>0</v>
      </c>
      <c r="BQ101" s="8">
        <f>('June 2024 YTD'!BC101*2)*1.03</f>
        <v>0</v>
      </c>
      <c r="BR101" s="8">
        <f>('June 2024 YTD'!BD101*2)*1.03</f>
        <v>0</v>
      </c>
      <c r="BS101" s="8">
        <f>('June 2024 YTD'!BE101*2)*1.03</f>
        <v>0</v>
      </c>
      <c r="BT101" s="8">
        <f>('June 2024 YTD'!BF101*2)*1.03</f>
        <v>0</v>
      </c>
      <c r="BU101" s="8">
        <f>('June 2024 YTD'!BG101*2)*1.03</f>
        <v>0</v>
      </c>
      <c r="BV101" s="8">
        <f>('June 2024 YTD'!BH101*2)*1.03</f>
        <v>0</v>
      </c>
      <c r="BW101" s="8">
        <f>('June 2024 YTD'!BI101*2)*1.03</f>
        <v>0</v>
      </c>
      <c r="BX101" s="88">
        <v>0</v>
      </c>
      <c r="BY101" s="88">
        <v>0</v>
      </c>
      <c r="BZ101" s="88">
        <v>0</v>
      </c>
      <c r="CA101" s="8">
        <f t="shared" ref="CA101:CA103" si="100">SUM(B101:BZ101)</f>
        <v>6920.6523999999999</v>
      </c>
      <c r="CB101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01" s="85" t="e">
        <f t="shared" ref="CC101:CC104" si="101">CA101-CB101</f>
        <v>#REF!</v>
      </c>
    </row>
    <row r="102" spans="1:81">
      <c r="A102" s="78" t="s">
        <v>179</v>
      </c>
      <c r="B102" s="8">
        <v>0</v>
      </c>
      <c r="C102" s="8">
        <f>C240</f>
        <v>3184.9551936811108</v>
      </c>
      <c r="D102" s="8">
        <f t="shared" ref="D102:BP103" si="102">D240</f>
        <v>0</v>
      </c>
      <c r="E102" s="8">
        <f t="shared" si="102"/>
        <v>0</v>
      </c>
      <c r="F102" s="8">
        <f t="shared" si="102"/>
        <v>0</v>
      </c>
      <c r="G102" s="8">
        <f t="shared" si="102"/>
        <v>0</v>
      </c>
      <c r="H102" s="8">
        <f t="shared" si="102"/>
        <v>0</v>
      </c>
      <c r="I102" s="8">
        <f t="shared" si="102"/>
        <v>121.87474941586049</v>
      </c>
      <c r="J102" s="8">
        <f t="shared" si="102"/>
        <v>0</v>
      </c>
      <c r="K102" s="8">
        <f t="shared" si="102"/>
        <v>0</v>
      </c>
      <c r="L102" s="8">
        <f t="shared" si="102"/>
        <v>0</v>
      </c>
      <c r="M102" s="8">
        <f t="shared" si="102"/>
        <v>0</v>
      </c>
      <c r="N102" s="8">
        <f t="shared" si="102"/>
        <v>121.87474941586049</v>
      </c>
      <c r="O102" s="8">
        <f t="shared" si="102"/>
        <v>0</v>
      </c>
      <c r="P102" s="8">
        <f t="shared" si="102"/>
        <v>0</v>
      </c>
      <c r="Q102" s="8">
        <f t="shared" si="102"/>
        <v>0</v>
      </c>
      <c r="R102" s="8">
        <f t="shared" si="102"/>
        <v>0</v>
      </c>
      <c r="S102" s="8">
        <f t="shared" si="102"/>
        <v>0</v>
      </c>
      <c r="T102" s="8">
        <f t="shared" si="102"/>
        <v>0</v>
      </c>
      <c r="U102" s="8">
        <f t="shared" si="102"/>
        <v>0</v>
      </c>
      <c r="V102" s="8">
        <f t="shared" si="102"/>
        <v>0</v>
      </c>
      <c r="W102" s="8">
        <f t="shared" si="102"/>
        <v>0</v>
      </c>
      <c r="X102" s="8">
        <f t="shared" si="102"/>
        <v>0</v>
      </c>
      <c r="Y102" s="8">
        <f t="shared" si="102"/>
        <v>0</v>
      </c>
      <c r="Z102" s="8">
        <f t="shared" si="102"/>
        <v>0</v>
      </c>
      <c r="AA102" s="8">
        <f t="shared" si="102"/>
        <v>0</v>
      </c>
      <c r="AB102" s="8">
        <f t="shared" si="102"/>
        <v>1750.2906920229527</v>
      </c>
      <c r="AC102" s="8">
        <f t="shared" si="102"/>
        <v>0</v>
      </c>
      <c r="AD102" s="8">
        <f t="shared" si="102"/>
        <v>0</v>
      </c>
      <c r="AE102" s="8">
        <v>0</v>
      </c>
      <c r="AF102" s="8">
        <f t="shared" si="102"/>
        <v>0</v>
      </c>
      <c r="AG102" s="8">
        <f t="shared" si="102"/>
        <v>372.8334373684138</v>
      </c>
      <c r="AH102" s="8">
        <f t="shared" si="102"/>
        <v>0</v>
      </c>
      <c r="AI102" s="8">
        <f t="shared" si="102"/>
        <v>0</v>
      </c>
      <c r="AJ102" s="88">
        <f t="shared" si="102"/>
        <v>0</v>
      </c>
      <c r="AK102" s="88">
        <f t="shared" si="102"/>
        <v>0</v>
      </c>
      <c r="AL102" s="88">
        <f t="shared" si="102"/>
        <v>0</v>
      </c>
      <c r="AM102" s="88">
        <f t="shared" si="102"/>
        <v>0</v>
      </c>
      <c r="AN102" s="88">
        <f t="shared" si="102"/>
        <v>0</v>
      </c>
      <c r="AO102" s="88">
        <f t="shared" si="102"/>
        <v>0</v>
      </c>
      <c r="AP102" s="88">
        <f t="shared" si="102"/>
        <v>0</v>
      </c>
      <c r="AQ102" s="8">
        <f t="shared" si="102"/>
        <v>0</v>
      </c>
      <c r="AR102" s="8">
        <f t="shared" si="102"/>
        <v>0</v>
      </c>
      <c r="AS102" s="88">
        <f t="shared" si="102"/>
        <v>0</v>
      </c>
      <c r="AT102" s="8">
        <f t="shared" si="102"/>
        <v>5681.988758817135</v>
      </c>
      <c r="AU102" s="88">
        <f t="shared" si="102"/>
        <v>0</v>
      </c>
      <c r="AV102" s="88">
        <f t="shared" si="102"/>
        <v>0</v>
      </c>
      <c r="AW102" s="8">
        <f t="shared" si="102"/>
        <v>0</v>
      </c>
      <c r="AX102" s="8">
        <f t="shared" si="102"/>
        <v>0</v>
      </c>
      <c r="AY102" s="88">
        <f t="shared" si="102"/>
        <v>0</v>
      </c>
      <c r="AZ102" s="8">
        <f t="shared" si="102"/>
        <v>0</v>
      </c>
      <c r="BA102" s="8">
        <f t="shared" si="102"/>
        <v>0</v>
      </c>
      <c r="BB102" s="8">
        <f t="shared" si="102"/>
        <v>0</v>
      </c>
      <c r="BC102" s="88">
        <f t="shared" si="102"/>
        <v>0</v>
      </c>
      <c r="BD102" s="88">
        <f t="shared" si="102"/>
        <v>0</v>
      </c>
      <c r="BE102" s="88">
        <f t="shared" si="102"/>
        <v>0</v>
      </c>
      <c r="BF102" s="88">
        <f t="shared" si="102"/>
        <v>0</v>
      </c>
      <c r="BG102" s="8">
        <f t="shared" si="102"/>
        <v>0</v>
      </c>
      <c r="BH102" s="8">
        <f t="shared" si="102"/>
        <v>0</v>
      </c>
      <c r="BI102" s="8">
        <f t="shared" si="102"/>
        <v>0</v>
      </c>
      <c r="BJ102" s="8">
        <f t="shared" si="102"/>
        <v>0</v>
      </c>
      <c r="BK102" s="8">
        <f t="shared" si="102"/>
        <v>0</v>
      </c>
      <c r="BL102" s="8">
        <f t="shared" si="102"/>
        <v>0</v>
      </c>
      <c r="BM102" s="8">
        <f t="shared" si="102"/>
        <v>0</v>
      </c>
      <c r="BN102" s="8">
        <f t="shared" si="102"/>
        <v>0</v>
      </c>
      <c r="BO102" s="8">
        <f t="shared" si="102"/>
        <v>0</v>
      </c>
      <c r="BP102" s="8">
        <f t="shared" si="102"/>
        <v>2788.091125909923</v>
      </c>
      <c r="BQ102" s="8">
        <f t="shared" ref="BQ102:BZ103" si="103">BQ240</f>
        <v>3174.7332091067965</v>
      </c>
      <c r="BR102" s="8">
        <f t="shared" si="103"/>
        <v>0</v>
      </c>
      <c r="BS102" s="8">
        <f t="shared" si="103"/>
        <v>6261.521484261948</v>
      </c>
      <c r="BT102" s="8">
        <f t="shared" si="103"/>
        <v>0</v>
      </c>
      <c r="BU102" s="8">
        <f t="shared" si="103"/>
        <v>0</v>
      </c>
      <c r="BV102" s="8">
        <f t="shared" si="103"/>
        <v>0</v>
      </c>
      <c r="BW102" s="8">
        <f t="shared" si="103"/>
        <v>0</v>
      </c>
      <c r="BX102" s="88">
        <f t="shared" si="103"/>
        <v>0</v>
      </c>
      <c r="BY102" s="88">
        <f t="shared" si="103"/>
        <v>0</v>
      </c>
      <c r="BZ102" s="88">
        <f t="shared" si="103"/>
        <v>0</v>
      </c>
      <c r="CA102" s="8">
        <f t="shared" si="100"/>
        <v>23458.163399999998</v>
      </c>
      <c r="CB102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02" s="85" t="e">
        <f t="shared" si="101"/>
        <v>#REF!</v>
      </c>
    </row>
    <row r="103" spans="1:81">
      <c r="A103" s="78" t="s">
        <v>180</v>
      </c>
      <c r="B103" s="8">
        <v>0</v>
      </c>
      <c r="C103" s="8">
        <f>C241</f>
        <v>5854.9795581622993</v>
      </c>
      <c r="D103" s="8">
        <f t="shared" si="102"/>
        <v>450.69276212339707</v>
      </c>
      <c r="E103" s="8">
        <f t="shared" si="102"/>
        <v>67.522095452846045</v>
      </c>
      <c r="F103" s="8">
        <f t="shared" si="102"/>
        <v>80.290144752443524</v>
      </c>
      <c r="G103" s="8">
        <f t="shared" si="102"/>
        <v>0</v>
      </c>
      <c r="H103" s="8">
        <f t="shared" si="102"/>
        <v>86.620341201147838</v>
      </c>
      <c r="I103" s="8">
        <f t="shared" si="102"/>
        <v>172.68086911091368</v>
      </c>
      <c r="J103" s="8">
        <f t="shared" si="102"/>
        <v>426.53466547221939</v>
      </c>
      <c r="K103" s="8">
        <f t="shared" si="102"/>
        <v>89.613189181997839</v>
      </c>
      <c r="L103" s="8">
        <f t="shared" si="102"/>
        <v>21.466686596456476</v>
      </c>
      <c r="M103" s="8">
        <f t="shared" si="102"/>
        <v>84.079650109490998</v>
      </c>
      <c r="N103" s="8">
        <f t="shared" si="102"/>
        <v>220.73868704801581</v>
      </c>
      <c r="O103" s="8">
        <f t="shared" si="102"/>
        <v>31.263419195641724</v>
      </c>
      <c r="P103" s="8">
        <f t="shared" si="102"/>
        <v>3.1435669439143883</v>
      </c>
      <c r="Q103" s="8">
        <f t="shared" si="102"/>
        <v>4.6076940136827336</v>
      </c>
      <c r="R103" s="8">
        <f t="shared" si="102"/>
        <v>4.6076940136827336</v>
      </c>
      <c r="S103" s="8">
        <f t="shared" si="102"/>
        <v>1.9162839589615108</v>
      </c>
      <c r="T103" s="8">
        <f t="shared" si="102"/>
        <v>0</v>
      </c>
      <c r="U103" s="8">
        <f t="shared" si="102"/>
        <v>75.854700982262926</v>
      </c>
      <c r="V103" s="8">
        <f t="shared" si="102"/>
        <v>0</v>
      </c>
      <c r="W103" s="8">
        <f t="shared" si="102"/>
        <v>0</v>
      </c>
      <c r="X103" s="8">
        <f t="shared" si="102"/>
        <v>159.50372548299856</v>
      </c>
      <c r="Y103" s="8">
        <f t="shared" si="102"/>
        <v>0</v>
      </c>
      <c r="Z103" s="8">
        <f t="shared" si="102"/>
        <v>42.438153742844243</v>
      </c>
      <c r="AA103" s="8">
        <f t="shared" si="102"/>
        <v>31.048106391264028</v>
      </c>
      <c r="AB103" s="8">
        <f t="shared" si="102"/>
        <v>271.42332119852591</v>
      </c>
      <c r="AC103" s="8">
        <f t="shared" si="102"/>
        <v>0</v>
      </c>
      <c r="AD103" s="8">
        <f t="shared" si="102"/>
        <v>0</v>
      </c>
      <c r="AE103" s="8">
        <v>0</v>
      </c>
      <c r="AF103" s="8">
        <f t="shared" si="102"/>
        <v>0</v>
      </c>
      <c r="AG103" s="8">
        <f t="shared" si="102"/>
        <v>260.87299378401866</v>
      </c>
      <c r="AH103" s="8">
        <f t="shared" si="102"/>
        <v>115.7306323530126</v>
      </c>
      <c r="AI103" s="8">
        <f t="shared" si="102"/>
        <v>0</v>
      </c>
      <c r="AJ103" s="88">
        <f t="shared" si="102"/>
        <v>0</v>
      </c>
      <c r="AK103" s="88">
        <f t="shared" si="102"/>
        <v>0</v>
      </c>
      <c r="AL103" s="88">
        <f t="shared" si="102"/>
        <v>0</v>
      </c>
      <c r="AM103" s="88">
        <f t="shared" si="102"/>
        <v>0</v>
      </c>
      <c r="AN103" s="88">
        <f t="shared" si="102"/>
        <v>0</v>
      </c>
      <c r="AO103" s="88">
        <f t="shared" si="102"/>
        <v>0</v>
      </c>
      <c r="AP103" s="88">
        <f t="shared" si="102"/>
        <v>0</v>
      </c>
      <c r="AQ103" s="8">
        <f t="shared" si="102"/>
        <v>0.86125121751079137</v>
      </c>
      <c r="AR103" s="8">
        <f t="shared" si="102"/>
        <v>37.335240279092801</v>
      </c>
      <c r="AS103" s="88">
        <f t="shared" si="102"/>
        <v>0</v>
      </c>
      <c r="AT103" s="8">
        <f t="shared" si="102"/>
        <v>20.94993586595</v>
      </c>
      <c r="AU103" s="88">
        <f t="shared" si="102"/>
        <v>0</v>
      </c>
      <c r="AV103" s="88">
        <f t="shared" si="102"/>
        <v>0</v>
      </c>
      <c r="AW103" s="8">
        <f t="shared" si="102"/>
        <v>49.177444519866185</v>
      </c>
      <c r="AX103" s="8">
        <f t="shared" si="102"/>
        <v>0</v>
      </c>
      <c r="AY103" s="88">
        <f t="shared" si="102"/>
        <v>0</v>
      </c>
      <c r="AZ103" s="8">
        <f t="shared" si="102"/>
        <v>14.124519967176978</v>
      </c>
      <c r="BA103" s="8">
        <f t="shared" si="102"/>
        <v>0</v>
      </c>
      <c r="BB103" s="8">
        <f t="shared" si="102"/>
        <v>0</v>
      </c>
      <c r="BC103" s="88">
        <f t="shared" si="102"/>
        <v>0</v>
      </c>
      <c r="BD103" s="88">
        <f t="shared" si="102"/>
        <v>0</v>
      </c>
      <c r="BE103" s="88">
        <f t="shared" si="102"/>
        <v>0</v>
      </c>
      <c r="BF103" s="88">
        <f t="shared" si="102"/>
        <v>0</v>
      </c>
      <c r="BG103" s="8">
        <f t="shared" si="102"/>
        <v>0</v>
      </c>
      <c r="BH103" s="8">
        <f>0</f>
        <v>0</v>
      </c>
      <c r="BI103" s="8">
        <f t="shared" si="102"/>
        <v>0</v>
      </c>
      <c r="BJ103" s="8">
        <f t="shared" si="102"/>
        <v>20.217872331065827</v>
      </c>
      <c r="BK103" s="8">
        <f t="shared" si="102"/>
        <v>13.478581554043883</v>
      </c>
      <c r="BL103" s="8">
        <f t="shared" si="102"/>
        <v>0</v>
      </c>
      <c r="BM103" s="8">
        <f t="shared" si="102"/>
        <v>0</v>
      </c>
      <c r="BN103" s="8">
        <f t="shared" si="102"/>
        <v>0</v>
      </c>
      <c r="BO103" s="8">
        <f t="shared" si="102"/>
        <v>0</v>
      </c>
      <c r="BP103" s="8">
        <f t="shared" si="102"/>
        <v>11.626891436395683</v>
      </c>
      <c r="BQ103" s="8">
        <f t="shared" si="103"/>
        <v>10.098170525314028</v>
      </c>
      <c r="BR103" s="8">
        <f t="shared" si="103"/>
        <v>9.4307008317431649</v>
      </c>
      <c r="BS103" s="8">
        <f t="shared" si="103"/>
        <v>35.526612722320145</v>
      </c>
      <c r="BT103" s="8">
        <f t="shared" si="103"/>
        <v>43.708499288672662</v>
      </c>
      <c r="BU103" s="8">
        <f t="shared" si="103"/>
        <v>0</v>
      </c>
      <c r="BV103" s="8">
        <f t="shared" si="103"/>
        <v>0</v>
      </c>
      <c r="BW103" s="8">
        <f t="shared" si="103"/>
        <v>0</v>
      </c>
      <c r="BX103" s="88">
        <f t="shared" si="103"/>
        <v>0</v>
      </c>
      <c r="BY103" s="88">
        <f t="shared" si="103"/>
        <v>0</v>
      </c>
      <c r="BZ103" s="88">
        <f t="shared" si="103"/>
        <v>0</v>
      </c>
      <c r="CA103" s="8">
        <f t="shared" si="100"/>
        <v>8824.1646618111918</v>
      </c>
      <c r="CB103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03" s="85" t="e">
        <f t="shared" si="101"/>
        <v>#REF!</v>
      </c>
    </row>
    <row r="104" spans="1:81">
      <c r="A104" s="9" t="s">
        <v>181</v>
      </c>
      <c r="B104" s="10">
        <f t="shared" ref="B104:BN104" si="104">SUM(B101:B103)</f>
        <v>0</v>
      </c>
      <c r="C104" s="10">
        <f t="shared" si="104"/>
        <v>9039.9347518434097</v>
      </c>
      <c r="D104" s="10">
        <f t="shared" si="104"/>
        <v>450.69276212339707</v>
      </c>
      <c r="E104" s="10">
        <f t="shared" si="104"/>
        <v>67.522095452846045</v>
      </c>
      <c r="F104" s="10">
        <f t="shared" si="104"/>
        <v>80.290144752443524</v>
      </c>
      <c r="G104" s="10">
        <f t="shared" si="104"/>
        <v>3090</v>
      </c>
      <c r="H104" s="10">
        <f t="shared" si="104"/>
        <v>86.620341201147838</v>
      </c>
      <c r="I104" s="10">
        <f t="shared" si="104"/>
        <v>294.5556185267742</v>
      </c>
      <c r="J104" s="10">
        <f t="shared" si="104"/>
        <v>426.53466547221939</v>
      </c>
      <c r="K104" s="10">
        <f t="shared" si="104"/>
        <v>89.613189181997839</v>
      </c>
      <c r="L104" s="10">
        <f t="shared" si="104"/>
        <v>21.466686596456476</v>
      </c>
      <c r="M104" s="10">
        <f t="shared" si="104"/>
        <v>84.079650109490998</v>
      </c>
      <c r="N104" s="10">
        <f t="shared" si="104"/>
        <v>2468.5334364638766</v>
      </c>
      <c r="O104" s="10">
        <f t="shared" si="104"/>
        <v>31.263419195641724</v>
      </c>
      <c r="P104" s="10">
        <f t="shared" si="104"/>
        <v>3.1435669439143883</v>
      </c>
      <c r="Q104" s="10">
        <f t="shared" si="104"/>
        <v>4.6076940136827336</v>
      </c>
      <c r="R104" s="10">
        <f t="shared" si="104"/>
        <v>4.6076940136827336</v>
      </c>
      <c r="S104" s="10">
        <f t="shared" si="104"/>
        <v>1.9162839589615108</v>
      </c>
      <c r="T104" s="10">
        <f t="shared" si="104"/>
        <v>0</v>
      </c>
      <c r="U104" s="10">
        <f t="shared" si="104"/>
        <v>75.854700982262926</v>
      </c>
      <c r="V104" s="10">
        <f t="shared" si="104"/>
        <v>0</v>
      </c>
      <c r="W104" s="10">
        <f t="shared" si="104"/>
        <v>0</v>
      </c>
      <c r="X104" s="10">
        <f t="shared" si="104"/>
        <v>159.50372548299856</v>
      </c>
      <c r="Y104" s="10">
        <f t="shared" si="104"/>
        <v>0</v>
      </c>
      <c r="Z104" s="10">
        <f t="shared" si="104"/>
        <v>42.438153742844243</v>
      </c>
      <c r="AA104" s="10">
        <f t="shared" si="104"/>
        <v>31.048106391264028</v>
      </c>
      <c r="AB104" s="10">
        <f t="shared" si="104"/>
        <v>2021.7140132214786</v>
      </c>
      <c r="AC104" s="10">
        <f t="shared" si="104"/>
        <v>0</v>
      </c>
      <c r="AD104" s="10">
        <f t="shared" si="104"/>
        <v>0</v>
      </c>
      <c r="AE104" s="10">
        <f t="shared" ref="AE104" si="105">SUM(AE101:AE103)</f>
        <v>0</v>
      </c>
      <c r="AF104" s="10">
        <f t="shared" si="104"/>
        <v>0</v>
      </c>
      <c r="AG104" s="10">
        <f t="shared" si="104"/>
        <v>633.70643115243251</v>
      </c>
      <c r="AH104" s="10">
        <f t="shared" si="104"/>
        <v>115.7306323530126</v>
      </c>
      <c r="AI104" s="10">
        <f t="shared" si="104"/>
        <v>0</v>
      </c>
      <c r="AJ104" s="89">
        <f t="shared" si="104"/>
        <v>0</v>
      </c>
      <c r="AK104" s="89">
        <f t="shared" si="104"/>
        <v>0</v>
      </c>
      <c r="AL104" s="89">
        <f t="shared" si="104"/>
        <v>0</v>
      </c>
      <c r="AM104" s="89">
        <f t="shared" si="104"/>
        <v>0</v>
      </c>
      <c r="AN104" s="89">
        <f t="shared" si="104"/>
        <v>0</v>
      </c>
      <c r="AO104" s="89">
        <f t="shared" si="104"/>
        <v>0</v>
      </c>
      <c r="AP104" s="89">
        <f t="shared" si="104"/>
        <v>0</v>
      </c>
      <c r="AQ104" s="10">
        <f t="shared" si="104"/>
        <v>0.86125121751079137</v>
      </c>
      <c r="AR104" s="10">
        <f t="shared" si="104"/>
        <v>37.335240279092801</v>
      </c>
      <c r="AS104" s="89">
        <f t="shared" si="104"/>
        <v>0</v>
      </c>
      <c r="AT104" s="10">
        <f t="shared" si="104"/>
        <v>5702.9386946830846</v>
      </c>
      <c r="AU104" s="89">
        <f t="shared" si="104"/>
        <v>0</v>
      </c>
      <c r="AV104" s="89">
        <f t="shared" si="104"/>
        <v>0</v>
      </c>
      <c r="AW104" s="10">
        <f t="shared" si="104"/>
        <v>49.177444519866185</v>
      </c>
      <c r="AX104" s="10">
        <f t="shared" si="104"/>
        <v>0</v>
      </c>
      <c r="AY104" s="89">
        <f t="shared" si="104"/>
        <v>0</v>
      </c>
      <c r="AZ104" s="10">
        <f t="shared" si="104"/>
        <v>14.124519967176978</v>
      </c>
      <c r="BA104" s="10">
        <f t="shared" si="104"/>
        <v>0</v>
      </c>
      <c r="BB104" s="10">
        <f t="shared" si="104"/>
        <v>0</v>
      </c>
      <c r="BC104" s="89">
        <f t="shared" si="104"/>
        <v>0</v>
      </c>
      <c r="BD104" s="89">
        <f t="shared" si="104"/>
        <v>0</v>
      </c>
      <c r="BE104" s="89">
        <f t="shared" si="104"/>
        <v>0</v>
      </c>
      <c r="BF104" s="89">
        <f t="shared" si="104"/>
        <v>0</v>
      </c>
      <c r="BG104" s="10">
        <f t="shared" si="104"/>
        <v>0</v>
      </c>
      <c r="BH104" s="10">
        <f t="shared" si="104"/>
        <v>0</v>
      </c>
      <c r="BI104" s="10">
        <f t="shared" si="104"/>
        <v>0</v>
      </c>
      <c r="BJ104" s="10">
        <f t="shared" si="104"/>
        <v>20.217872331065827</v>
      </c>
      <c r="BK104" s="10">
        <f t="shared" si="104"/>
        <v>13.478581554043883</v>
      </c>
      <c r="BL104" s="10">
        <f t="shared" si="104"/>
        <v>0</v>
      </c>
      <c r="BM104" s="10">
        <f t="shared" si="104"/>
        <v>0</v>
      </c>
      <c r="BN104" s="10">
        <f t="shared" si="104"/>
        <v>0</v>
      </c>
      <c r="BO104" s="10">
        <f t="shared" ref="BO104:CB104" si="106">SUM(BO101:BO103)</f>
        <v>1704.7323999999999</v>
      </c>
      <c r="BP104" s="10">
        <f t="shared" si="106"/>
        <v>2799.7180173463189</v>
      </c>
      <c r="BQ104" s="10">
        <f t="shared" si="106"/>
        <v>3184.8313796321104</v>
      </c>
      <c r="BR104" s="10">
        <f t="shared" si="106"/>
        <v>9.4307008317431649</v>
      </c>
      <c r="BS104" s="10">
        <f t="shared" si="106"/>
        <v>6297.0480969842683</v>
      </c>
      <c r="BT104" s="10">
        <f t="shared" si="106"/>
        <v>43.708499288672662</v>
      </c>
      <c r="BU104" s="10">
        <f t="shared" si="106"/>
        <v>0</v>
      </c>
      <c r="BV104" s="10">
        <f t="shared" si="106"/>
        <v>0</v>
      </c>
      <c r="BW104" s="10">
        <f t="shared" si="106"/>
        <v>0</v>
      </c>
      <c r="BX104" s="89">
        <f t="shared" si="106"/>
        <v>0</v>
      </c>
      <c r="BY104" s="89">
        <f t="shared" si="106"/>
        <v>0</v>
      </c>
      <c r="BZ104" s="89">
        <f t="shared" si="106"/>
        <v>0</v>
      </c>
      <c r="CA104" s="10">
        <f t="shared" si="106"/>
        <v>39202.980461811188</v>
      </c>
      <c r="CB104" s="10" t="e">
        <f t="shared" si="106"/>
        <v>#REF!</v>
      </c>
      <c r="CC104" s="85" t="e">
        <f t="shared" si="101"/>
        <v>#REF!</v>
      </c>
    </row>
    <row r="105" spans="1:81">
      <c r="A105" s="6" t="s">
        <v>182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87"/>
      <c r="AK105" s="87"/>
      <c r="AL105" s="87"/>
      <c r="AM105" s="87"/>
      <c r="AN105" s="87"/>
      <c r="AO105" s="87"/>
      <c r="AP105" s="87"/>
      <c r="AQ105" s="4"/>
      <c r="AR105" s="4"/>
      <c r="AS105" s="87"/>
      <c r="AT105" s="4"/>
      <c r="AU105" s="87"/>
      <c r="AV105" s="87"/>
      <c r="AW105" s="4"/>
      <c r="AX105" s="4"/>
      <c r="AY105" s="87"/>
      <c r="AZ105" s="4"/>
      <c r="BA105" s="4"/>
      <c r="BB105" s="4"/>
      <c r="BC105" s="87"/>
      <c r="BD105" s="87"/>
      <c r="BE105" s="87"/>
      <c r="BF105" s="87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87"/>
      <c r="BY105" s="87"/>
      <c r="BZ105" s="87"/>
      <c r="CA105" s="4"/>
      <c r="CC105" s="85"/>
    </row>
    <row r="106" spans="1:81">
      <c r="A106" s="78" t="s">
        <v>183</v>
      </c>
      <c r="B106" s="8">
        <v>0</v>
      </c>
      <c r="C106" s="8">
        <f>C252</f>
        <v>15006.050000000001</v>
      </c>
      <c r="D106" s="8">
        <f t="shared" ref="D106:BP107" si="107">D252</f>
        <v>506.5333333333333</v>
      </c>
      <c r="E106" s="8">
        <f t="shared" si="107"/>
        <v>0</v>
      </c>
      <c r="F106" s="8">
        <f t="shared" si="107"/>
        <v>1013.0666666666666</v>
      </c>
      <c r="G106" s="8">
        <f t="shared" si="107"/>
        <v>0</v>
      </c>
      <c r="H106" s="8">
        <f t="shared" si="107"/>
        <v>0</v>
      </c>
      <c r="I106" s="8">
        <f t="shared" si="107"/>
        <v>0</v>
      </c>
      <c r="J106" s="8">
        <f t="shared" si="107"/>
        <v>0</v>
      </c>
      <c r="K106" s="8">
        <f t="shared" si="107"/>
        <v>0</v>
      </c>
      <c r="L106" s="8">
        <f t="shared" si="107"/>
        <v>0</v>
      </c>
      <c r="M106" s="8">
        <f t="shared" si="107"/>
        <v>0</v>
      </c>
      <c r="N106" s="8">
        <f t="shared" si="107"/>
        <v>0</v>
      </c>
      <c r="O106" s="8">
        <f t="shared" si="107"/>
        <v>0</v>
      </c>
      <c r="P106" s="8">
        <f t="shared" si="107"/>
        <v>0</v>
      </c>
      <c r="Q106" s="8">
        <f t="shared" si="107"/>
        <v>0</v>
      </c>
      <c r="R106" s="8">
        <f t="shared" si="107"/>
        <v>0</v>
      </c>
      <c r="S106" s="8">
        <f t="shared" si="107"/>
        <v>0</v>
      </c>
      <c r="T106" s="8">
        <f t="shared" si="107"/>
        <v>0</v>
      </c>
      <c r="U106" s="8">
        <f t="shared" si="107"/>
        <v>0</v>
      </c>
      <c r="V106" s="8">
        <f t="shared" si="107"/>
        <v>0</v>
      </c>
      <c r="W106" s="8">
        <f t="shared" si="107"/>
        <v>0</v>
      </c>
      <c r="X106" s="8">
        <f t="shared" si="107"/>
        <v>0</v>
      </c>
      <c r="Y106" s="8">
        <f t="shared" si="107"/>
        <v>0</v>
      </c>
      <c r="Z106" s="8">
        <f t="shared" si="107"/>
        <v>0</v>
      </c>
      <c r="AA106" s="8">
        <f t="shared" si="107"/>
        <v>0</v>
      </c>
      <c r="AB106" s="8">
        <f t="shared" si="107"/>
        <v>0</v>
      </c>
      <c r="AC106" s="8">
        <f t="shared" si="107"/>
        <v>0</v>
      </c>
      <c r="AD106" s="8">
        <f t="shared" si="107"/>
        <v>0</v>
      </c>
      <c r="AE106" s="8">
        <v>0</v>
      </c>
      <c r="AF106" s="8">
        <f t="shared" si="107"/>
        <v>0</v>
      </c>
      <c r="AG106" s="8">
        <f t="shared" si="107"/>
        <v>0</v>
      </c>
      <c r="AH106" s="8">
        <f t="shared" si="107"/>
        <v>0</v>
      </c>
      <c r="AI106" s="8">
        <f t="shared" si="107"/>
        <v>0</v>
      </c>
      <c r="AJ106" s="88">
        <f t="shared" si="107"/>
        <v>0</v>
      </c>
      <c r="AK106" s="88">
        <f t="shared" si="107"/>
        <v>0</v>
      </c>
      <c r="AL106" s="88">
        <f t="shared" si="107"/>
        <v>0</v>
      </c>
      <c r="AM106" s="88">
        <f t="shared" si="107"/>
        <v>0</v>
      </c>
      <c r="AN106" s="88">
        <f t="shared" si="107"/>
        <v>0</v>
      </c>
      <c r="AO106" s="88">
        <f t="shared" si="107"/>
        <v>0</v>
      </c>
      <c r="AP106" s="88">
        <f t="shared" si="107"/>
        <v>0</v>
      </c>
      <c r="AQ106" s="8">
        <f t="shared" si="107"/>
        <v>0</v>
      </c>
      <c r="AR106" s="8">
        <f t="shared" si="107"/>
        <v>0</v>
      </c>
      <c r="AS106" s="88">
        <f t="shared" si="107"/>
        <v>0</v>
      </c>
      <c r="AT106" s="8">
        <f t="shared" si="107"/>
        <v>1962.8166666666666</v>
      </c>
      <c r="AU106" s="88">
        <f t="shared" si="107"/>
        <v>0</v>
      </c>
      <c r="AV106" s="88">
        <f t="shared" si="107"/>
        <v>0</v>
      </c>
      <c r="AW106" s="8">
        <f t="shared" si="107"/>
        <v>0</v>
      </c>
      <c r="AX106" s="8">
        <f t="shared" si="107"/>
        <v>0</v>
      </c>
      <c r="AY106" s="88">
        <f t="shared" si="107"/>
        <v>0</v>
      </c>
      <c r="AZ106" s="8">
        <f t="shared" si="107"/>
        <v>0</v>
      </c>
      <c r="BA106" s="8">
        <f t="shared" si="107"/>
        <v>0</v>
      </c>
      <c r="BB106" s="8">
        <f t="shared" si="107"/>
        <v>0</v>
      </c>
      <c r="BC106" s="88">
        <f t="shared" si="107"/>
        <v>0</v>
      </c>
      <c r="BD106" s="88">
        <f t="shared" si="107"/>
        <v>0</v>
      </c>
      <c r="BE106" s="88">
        <f t="shared" si="107"/>
        <v>0</v>
      </c>
      <c r="BF106" s="88">
        <f t="shared" si="107"/>
        <v>0</v>
      </c>
      <c r="BG106" s="8">
        <f t="shared" si="107"/>
        <v>0</v>
      </c>
      <c r="BH106" s="8">
        <f t="shared" si="107"/>
        <v>0</v>
      </c>
      <c r="BI106" s="8">
        <f t="shared" si="107"/>
        <v>0</v>
      </c>
      <c r="BJ106" s="8">
        <f t="shared" si="107"/>
        <v>0</v>
      </c>
      <c r="BK106" s="8">
        <f t="shared" si="107"/>
        <v>0</v>
      </c>
      <c r="BL106" s="8">
        <f t="shared" si="107"/>
        <v>0</v>
      </c>
      <c r="BM106" s="8">
        <f t="shared" si="107"/>
        <v>0</v>
      </c>
      <c r="BN106" s="8">
        <f t="shared" si="107"/>
        <v>0</v>
      </c>
      <c r="BO106" s="8">
        <f t="shared" si="107"/>
        <v>0</v>
      </c>
      <c r="BP106" s="8">
        <f t="shared" si="107"/>
        <v>0</v>
      </c>
      <c r="BQ106" s="8">
        <f t="shared" ref="BQ106:BZ107" si="108">BQ252</f>
        <v>0</v>
      </c>
      <c r="BR106" s="8">
        <f t="shared" si="108"/>
        <v>0</v>
      </c>
      <c r="BS106" s="8">
        <f t="shared" si="108"/>
        <v>316.58333333333331</v>
      </c>
      <c r="BT106" s="8">
        <f t="shared" si="108"/>
        <v>0</v>
      </c>
      <c r="BU106" s="8">
        <f t="shared" si="108"/>
        <v>0</v>
      </c>
      <c r="BV106" s="8">
        <f t="shared" si="108"/>
        <v>0</v>
      </c>
      <c r="BW106" s="8">
        <f t="shared" si="108"/>
        <v>0</v>
      </c>
      <c r="BX106" s="88">
        <f t="shared" si="108"/>
        <v>0</v>
      </c>
      <c r="BY106" s="88">
        <f t="shared" si="108"/>
        <v>0</v>
      </c>
      <c r="BZ106" s="88">
        <f t="shared" si="108"/>
        <v>0</v>
      </c>
      <c r="CA106" s="8">
        <f t="shared" ref="CA106:CA107" si="109">SUM(B106:BZ106)</f>
        <v>18805.05</v>
      </c>
      <c r="CB106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06" s="85" t="e">
        <f t="shared" ref="CC106:CC108" si="110">CA106-CB106</f>
        <v>#REF!</v>
      </c>
    </row>
    <row r="107" spans="1:81">
      <c r="A107" s="78" t="s">
        <v>184</v>
      </c>
      <c r="B107" s="8">
        <v>0</v>
      </c>
      <c r="C107" s="8">
        <f>C253</f>
        <v>7076.9875998915231</v>
      </c>
      <c r="D107" s="93">
        <f>D253+21.52</f>
        <v>3849.563236171572</v>
      </c>
      <c r="E107" s="8">
        <f t="shared" si="107"/>
        <v>955.97125021506395</v>
      </c>
      <c r="F107" s="8">
        <f t="shared" si="107"/>
        <v>1496.7297835250597</v>
      </c>
      <c r="G107" s="8">
        <f t="shared" si="107"/>
        <v>450.66343489815125</v>
      </c>
      <c r="H107" s="93">
        <f>H253-21.52</f>
        <v>941.61657094925238</v>
      </c>
      <c r="I107" s="8">
        <f t="shared" si="107"/>
        <v>2013.2201977582795</v>
      </c>
      <c r="J107" s="8">
        <f t="shared" si="107"/>
        <v>4055.9239283736288</v>
      </c>
      <c r="K107" s="8">
        <f t="shared" si="107"/>
        <v>1769.1059428436836</v>
      </c>
      <c r="L107" s="8">
        <f t="shared" si="107"/>
        <v>506.48245806022226</v>
      </c>
      <c r="M107" s="8">
        <f t="shared" si="107"/>
        <v>950.89679356396653</v>
      </c>
      <c r="N107" s="8">
        <f t="shared" si="107"/>
        <v>2282.2603716859039</v>
      </c>
      <c r="O107" s="8">
        <f t="shared" si="107"/>
        <v>246.46354040121486</v>
      </c>
      <c r="P107" s="8">
        <f t="shared" si="107"/>
        <v>0</v>
      </c>
      <c r="Q107" s="8">
        <f t="shared" si="107"/>
        <v>0</v>
      </c>
      <c r="R107" s="8">
        <f t="shared" si="107"/>
        <v>0</v>
      </c>
      <c r="S107" s="8">
        <f t="shared" si="107"/>
        <v>22.647112091008594</v>
      </c>
      <c r="T107" s="8">
        <f t="shared" si="107"/>
        <v>0</v>
      </c>
      <c r="U107" s="8">
        <f t="shared" si="107"/>
        <v>551.37730370951408</v>
      </c>
      <c r="V107" s="8">
        <f t="shared" si="107"/>
        <v>0</v>
      </c>
      <c r="W107" s="8">
        <f t="shared" si="107"/>
        <v>0</v>
      </c>
      <c r="X107" s="8">
        <f t="shared" si="107"/>
        <v>1649.6212829942338</v>
      </c>
      <c r="Y107" s="8">
        <f t="shared" si="107"/>
        <v>0</v>
      </c>
      <c r="Z107" s="8">
        <f t="shared" si="107"/>
        <v>0</v>
      </c>
      <c r="AA107" s="8">
        <f t="shared" si="107"/>
        <v>0</v>
      </c>
      <c r="AB107" s="8">
        <f t="shared" si="107"/>
        <v>3370.1440019746333</v>
      </c>
      <c r="AC107" s="8">
        <f t="shared" si="107"/>
        <v>0</v>
      </c>
      <c r="AD107" s="8">
        <f t="shared" si="107"/>
        <v>0</v>
      </c>
      <c r="AE107" s="8">
        <v>0</v>
      </c>
      <c r="AF107" s="8">
        <f t="shared" si="107"/>
        <v>0</v>
      </c>
      <c r="AG107" s="8">
        <f t="shared" si="107"/>
        <v>2994.6811955031612</v>
      </c>
      <c r="AH107" s="8">
        <f t="shared" si="107"/>
        <v>1336.0856419500421</v>
      </c>
      <c r="AI107" s="8">
        <f t="shared" si="107"/>
        <v>0</v>
      </c>
      <c r="AJ107" s="88">
        <f t="shared" si="107"/>
        <v>0</v>
      </c>
      <c r="AK107" s="88">
        <f t="shared" si="107"/>
        <v>0</v>
      </c>
      <c r="AL107" s="88">
        <f t="shared" si="107"/>
        <v>0</v>
      </c>
      <c r="AM107" s="88">
        <f t="shared" si="107"/>
        <v>0</v>
      </c>
      <c r="AN107" s="88">
        <f t="shared" si="107"/>
        <v>0</v>
      </c>
      <c r="AO107" s="88">
        <f t="shared" si="107"/>
        <v>0</v>
      </c>
      <c r="AP107" s="88">
        <f t="shared" si="107"/>
        <v>0</v>
      </c>
      <c r="AQ107" s="8">
        <f t="shared" si="107"/>
        <v>30.047361373858909</v>
      </c>
      <c r="AR107" s="8">
        <f t="shared" si="107"/>
        <v>370.95217833716356</v>
      </c>
      <c r="AS107" s="88">
        <f t="shared" si="107"/>
        <v>0</v>
      </c>
      <c r="AT107" s="8">
        <f t="shared" si="107"/>
        <v>366.60600018691815</v>
      </c>
      <c r="AU107" s="88">
        <f t="shared" si="107"/>
        <v>0</v>
      </c>
      <c r="AV107" s="88">
        <f t="shared" si="107"/>
        <v>0</v>
      </c>
      <c r="AW107" s="8">
        <f t="shared" si="107"/>
        <v>952.54129340459997</v>
      </c>
      <c r="AX107" s="8">
        <f t="shared" si="107"/>
        <v>0</v>
      </c>
      <c r="AY107" s="88">
        <f t="shared" si="107"/>
        <v>0</v>
      </c>
      <c r="AZ107" s="8">
        <f t="shared" si="107"/>
        <v>0</v>
      </c>
      <c r="BA107" s="8">
        <f t="shared" si="107"/>
        <v>0</v>
      </c>
      <c r="BB107" s="8">
        <f t="shared" si="107"/>
        <v>0</v>
      </c>
      <c r="BC107" s="88">
        <f t="shared" si="107"/>
        <v>0</v>
      </c>
      <c r="BD107" s="88">
        <f t="shared" si="107"/>
        <v>0</v>
      </c>
      <c r="BE107" s="88">
        <f t="shared" si="107"/>
        <v>0</v>
      </c>
      <c r="BF107" s="88">
        <f t="shared" si="107"/>
        <v>0</v>
      </c>
      <c r="BG107" s="8">
        <f t="shared" si="107"/>
        <v>0</v>
      </c>
      <c r="BH107" s="8">
        <f t="shared" si="107"/>
        <v>0</v>
      </c>
      <c r="BI107" s="8">
        <f t="shared" si="107"/>
        <v>0</v>
      </c>
      <c r="BJ107" s="8">
        <f t="shared" si="107"/>
        <v>799.36787967703151</v>
      </c>
      <c r="BK107" s="8">
        <f t="shared" si="107"/>
        <v>0</v>
      </c>
      <c r="BL107" s="8">
        <f t="shared" si="107"/>
        <v>0</v>
      </c>
      <c r="BM107" s="8">
        <f t="shared" si="107"/>
        <v>2461.5578400246777</v>
      </c>
      <c r="BN107" s="8">
        <f t="shared" si="107"/>
        <v>0</v>
      </c>
      <c r="BO107" s="8">
        <f t="shared" si="107"/>
        <v>0</v>
      </c>
      <c r="BP107" s="8">
        <f t="shared" si="107"/>
        <v>205.0691301269855</v>
      </c>
      <c r="BQ107" s="8">
        <f t="shared" si="108"/>
        <v>205.0691301269855</v>
      </c>
      <c r="BR107" s="8">
        <f t="shared" si="108"/>
        <v>223.04116409962197</v>
      </c>
      <c r="BS107" s="8">
        <f t="shared" si="108"/>
        <v>438.1652361093374</v>
      </c>
      <c r="BT107" s="8">
        <f t="shared" si="108"/>
        <v>914.24793997270785</v>
      </c>
      <c r="BU107" s="8">
        <f t="shared" si="108"/>
        <v>0</v>
      </c>
      <c r="BV107" s="8">
        <f t="shared" si="108"/>
        <v>0</v>
      </c>
      <c r="BW107" s="8">
        <f t="shared" si="108"/>
        <v>0</v>
      </c>
      <c r="BX107" s="88">
        <f t="shared" si="108"/>
        <v>0</v>
      </c>
      <c r="BY107" s="88">
        <f t="shared" si="108"/>
        <v>0</v>
      </c>
      <c r="BZ107" s="88">
        <f t="shared" si="108"/>
        <v>0</v>
      </c>
      <c r="CA107" s="8">
        <f t="shared" si="109"/>
        <v>43487.106800000001</v>
      </c>
      <c r="CB107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07" s="85" t="e">
        <f t="shared" si="110"/>
        <v>#REF!</v>
      </c>
    </row>
    <row r="108" spans="1:81">
      <c r="A108" s="9" t="s">
        <v>185</v>
      </c>
      <c r="B108" s="10">
        <f t="shared" ref="B108:BN108" si="111">SUM(B106:B107)</f>
        <v>0</v>
      </c>
      <c r="C108" s="10">
        <f t="shared" si="111"/>
        <v>22083.037599891526</v>
      </c>
      <c r="D108" s="10">
        <f t="shared" si="111"/>
        <v>4356.0965695049053</v>
      </c>
      <c r="E108" s="10">
        <f t="shared" si="111"/>
        <v>955.97125021506395</v>
      </c>
      <c r="F108" s="10">
        <f t="shared" si="111"/>
        <v>2509.7964501917263</v>
      </c>
      <c r="G108" s="10">
        <f t="shared" si="111"/>
        <v>450.66343489815125</v>
      </c>
      <c r="H108" s="10">
        <f t="shared" si="111"/>
        <v>941.61657094925238</v>
      </c>
      <c r="I108" s="10">
        <f t="shared" si="111"/>
        <v>2013.2201977582795</v>
      </c>
      <c r="J108" s="10">
        <f t="shared" si="111"/>
        <v>4055.9239283736288</v>
      </c>
      <c r="K108" s="10">
        <f t="shared" si="111"/>
        <v>1769.1059428436836</v>
      </c>
      <c r="L108" s="10">
        <f t="shared" si="111"/>
        <v>506.48245806022226</v>
      </c>
      <c r="M108" s="10">
        <f t="shared" si="111"/>
        <v>950.89679356396653</v>
      </c>
      <c r="N108" s="10">
        <f t="shared" si="111"/>
        <v>2282.2603716859039</v>
      </c>
      <c r="O108" s="10">
        <f t="shared" si="111"/>
        <v>246.46354040121486</v>
      </c>
      <c r="P108" s="10">
        <f t="shared" si="111"/>
        <v>0</v>
      </c>
      <c r="Q108" s="10">
        <f t="shared" si="111"/>
        <v>0</v>
      </c>
      <c r="R108" s="10">
        <f t="shared" si="111"/>
        <v>0</v>
      </c>
      <c r="S108" s="10">
        <f t="shared" si="111"/>
        <v>22.647112091008594</v>
      </c>
      <c r="T108" s="10">
        <f t="shared" si="111"/>
        <v>0</v>
      </c>
      <c r="U108" s="10">
        <f t="shared" si="111"/>
        <v>551.37730370951408</v>
      </c>
      <c r="V108" s="10">
        <f t="shared" si="111"/>
        <v>0</v>
      </c>
      <c r="W108" s="10">
        <f t="shared" si="111"/>
        <v>0</v>
      </c>
      <c r="X108" s="10">
        <f t="shared" si="111"/>
        <v>1649.6212829942338</v>
      </c>
      <c r="Y108" s="10">
        <f t="shared" si="111"/>
        <v>0</v>
      </c>
      <c r="Z108" s="10">
        <f t="shared" si="111"/>
        <v>0</v>
      </c>
      <c r="AA108" s="10">
        <f t="shared" si="111"/>
        <v>0</v>
      </c>
      <c r="AB108" s="10">
        <f t="shared" si="111"/>
        <v>3370.1440019746333</v>
      </c>
      <c r="AC108" s="10">
        <f t="shared" si="111"/>
        <v>0</v>
      </c>
      <c r="AD108" s="10">
        <f t="shared" si="111"/>
        <v>0</v>
      </c>
      <c r="AE108" s="10">
        <f t="shared" ref="AE108" si="112">SUM(AE106:AE107)</f>
        <v>0</v>
      </c>
      <c r="AF108" s="10">
        <f t="shared" si="111"/>
        <v>0</v>
      </c>
      <c r="AG108" s="10">
        <f t="shared" si="111"/>
        <v>2994.6811955031612</v>
      </c>
      <c r="AH108" s="10">
        <f t="shared" si="111"/>
        <v>1336.0856419500421</v>
      </c>
      <c r="AI108" s="10">
        <f t="shared" si="111"/>
        <v>0</v>
      </c>
      <c r="AJ108" s="89">
        <f t="shared" si="111"/>
        <v>0</v>
      </c>
      <c r="AK108" s="89">
        <f t="shared" si="111"/>
        <v>0</v>
      </c>
      <c r="AL108" s="89">
        <f t="shared" si="111"/>
        <v>0</v>
      </c>
      <c r="AM108" s="89">
        <f t="shared" si="111"/>
        <v>0</v>
      </c>
      <c r="AN108" s="89">
        <f t="shared" si="111"/>
        <v>0</v>
      </c>
      <c r="AO108" s="89">
        <f t="shared" si="111"/>
        <v>0</v>
      </c>
      <c r="AP108" s="89">
        <f t="shared" si="111"/>
        <v>0</v>
      </c>
      <c r="AQ108" s="10">
        <f t="shared" si="111"/>
        <v>30.047361373858909</v>
      </c>
      <c r="AR108" s="10">
        <f t="shared" si="111"/>
        <v>370.95217833716356</v>
      </c>
      <c r="AS108" s="89">
        <f t="shared" si="111"/>
        <v>0</v>
      </c>
      <c r="AT108" s="10">
        <f t="shared" si="111"/>
        <v>2329.4226668535848</v>
      </c>
      <c r="AU108" s="89">
        <f t="shared" si="111"/>
        <v>0</v>
      </c>
      <c r="AV108" s="89">
        <f t="shared" si="111"/>
        <v>0</v>
      </c>
      <c r="AW108" s="10">
        <f t="shared" si="111"/>
        <v>952.54129340459997</v>
      </c>
      <c r="AX108" s="10">
        <f t="shared" si="111"/>
        <v>0</v>
      </c>
      <c r="AY108" s="89">
        <f t="shared" si="111"/>
        <v>0</v>
      </c>
      <c r="AZ108" s="10">
        <f t="shared" si="111"/>
        <v>0</v>
      </c>
      <c r="BA108" s="10">
        <f t="shared" si="111"/>
        <v>0</v>
      </c>
      <c r="BB108" s="10">
        <f t="shared" si="111"/>
        <v>0</v>
      </c>
      <c r="BC108" s="89">
        <f t="shared" si="111"/>
        <v>0</v>
      </c>
      <c r="BD108" s="89">
        <f t="shared" si="111"/>
        <v>0</v>
      </c>
      <c r="BE108" s="89">
        <f t="shared" si="111"/>
        <v>0</v>
      </c>
      <c r="BF108" s="89">
        <f t="shared" si="111"/>
        <v>0</v>
      </c>
      <c r="BG108" s="10">
        <f t="shared" si="111"/>
        <v>0</v>
      </c>
      <c r="BH108" s="10">
        <f t="shared" si="111"/>
        <v>0</v>
      </c>
      <c r="BI108" s="10">
        <f t="shared" si="111"/>
        <v>0</v>
      </c>
      <c r="BJ108" s="10">
        <f t="shared" si="111"/>
        <v>799.36787967703151</v>
      </c>
      <c r="BK108" s="10">
        <f t="shared" si="111"/>
        <v>0</v>
      </c>
      <c r="BL108" s="10">
        <f t="shared" si="111"/>
        <v>0</v>
      </c>
      <c r="BM108" s="10">
        <f t="shared" si="111"/>
        <v>2461.5578400246777</v>
      </c>
      <c r="BN108" s="10">
        <f t="shared" si="111"/>
        <v>0</v>
      </c>
      <c r="BO108" s="10">
        <f t="shared" ref="BO108:CB108" si="113">SUM(BO106:BO107)</f>
        <v>0</v>
      </c>
      <c r="BP108" s="10">
        <f t="shared" si="113"/>
        <v>205.0691301269855</v>
      </c>
      <c r="BQ108" s="10">
        <f t="shared" si="113"/>
        <v>205.0691301269855</v>
      </c>
      <c r="BR108" s="10">
        <f t="shared" si="113"/>
        <v>223.04116409962197</v>
      </c>
      <c r="BS108" s="10">
        <f t="shared" si="113"/>
        <v>754.74856944267071</v>
      </c>
      <c r="BT108" s="10">
        <f t="shared" si="113"/>
        <v>914.24793997270785</v>
      </c>
      <c r="BU108" s="10">
        <f t="shared" si="113"/>
        <v>0</v>
      </c>
      <c r="BV108" s="10">
        <f t="shared" si="113"/>
        <v>0</v>
      </c>
      <c r="BW108" s="10">
        <f t="shared" si="113"/>
        <v>0</v>
      </c>
      <c r="BX108" s="89">
        <f t="shared" si="113"/>
        <v>0</v>
      </c>
      <c r="BY108" s="89">
        <f t="shared" si="113"/>
        <v>0</v>
      </c>
      <c r="BZ108" s="89">
        <f t="shared" si="113"/>
        <v>0</v>
      </c>
      <c r="CA108" s="10">
        <f t="shared" si="113"/>
        <v>62292.156799999997</v>
      </c>
      <c r="CB108" s="10" t="e">
        <f t="shared" si="113"/>
        <v>#REF!</v>
      </c>
      <c r="CC108" s="85" t="e">
        <f t="shared" si="110"/>
        <v>#REF!</v>
      </c>
    </row>
    <row r="109" spans="1:81">
      <c r="A109" s="6" t="s">
        <v>186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87"/>
      <c r="AK109" s="87"/>
      <c r="AL109" s="87"/>
      <c r="AM109" s="87"/>
      <c r="AN109" s="87"/>
      <c r="AO109" s="87"/>
      <c r="AP109" s="87"/>
      <c r="AQ109" s="4"/>
      <c r="AR109" s="4"/>
      <c r="AS109" s="87"/>
      <c r="AT109" s="4"/>
      <c r="AU109" s="87"/>
      <c r="AV109" s="87"/>
      <c r="AW109" s="4"/>
      <c r="AX109" s="4"/>
      <c r="AY109" s="87"/>
      <c r="AZ109" s="4"/>
      <c r="BA109" s="4"/>
      <c r="BB109" s="4"/>
      <c r="BC109" s="87"/>
      <c r="BD109" s="87"/>
      <c r="BE109" s="87"/>
      <c r="BF109" s="87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87"/>
      <c r="BY109" s="87"/>
      <c r="BZ109" s="87"/>
      <c r="CA109" s="4"/>
      <c r="CC109" s="85"/>
    </row>
    <row r="110" spans="1:81">
      <c r="A110" s="78" t="s">
        <v>187</v>
      </c>
      <c r="B110" s="8">
        <v>0</v>
      </c>
      <c r="C110" s="8">
        <f>('June 2024 YTD'!C110*2)*1.03</f>
        <v>0</v>
      </c>
      <c r="D110" s="8">
        <f>('June 2024 YTD'!D110*2)*1.03</f>
        <v>0</v>
      </c>
      <c r="E110" s="8">
        <f>('June 2024 YTD'!E110*2)*1.03</f>
        <v>0</v>
      </c>
      <c r="F110" s="8">
        <f>('June 2024 YTD'!F110*2)*1.03</f>
        <v>0</v>
      </c>
      <c r="G110" s="8">
        <f>('June 2024 YTD'!G110*2)*1.03</f>
        <v>0</v>
      </c>
      <c r="H110" s="8">
        <f>('June 2024 YTD'!H110*2)*1.03</f>
        <v>0</v>
      </c>
      <c r="I110" s="8">
        <f>('June 2024 YTD'!I110*2)*1.03</f>
        <v>0</v>
      </c>
      <c r="J110" s="8">
        <f>('June 2024 YTD'!J110*2)*1.03</f>
        <v>0</v>
      </c>
      <c r="K110" s="8">
        <f>('June 2024 YTD'!K110*2)*1.03</f>
        <v>0</v>
      </c>
      <c r="L110" s="8">
        <f>('June 2024 YTD'!L110*2)*1.03</f>
        <v>0</v>
      </c>
      <c r="M110" s="8">
        <f>('June 2024 YTD'!M110*2)*1.03</f>
        <v>0</v>
      </c>
      <c r="N110" s="8">
        <f>('June 2024 YTD'!N110*2)*1.03</f>
        <v>0</v>
      </c>
      <c r="O110" s="8">
        <f>('June 2024 YTD'!O110*2)*1.03</f>
        <v>0</v>
      </c>
      <c r="P110" s="8">
        <f>('June 2024 YTD'!P110*2)*1.03</f>
        <v>0</v>
      </c>
      <c r="Q110" s="8">
        <f>('June 2024 YTD'!Q110*2)*1.03</f>
        <v>0</v>
      </c>
      <c r="R110" s="8">
        <f>('June 2024 YTD'!R110*2)*1.03</f>
        <v>0</v>
      </c>
      <c r="S110" s="8">
        <f>('June 2024 YTD'!S110*2)*1.03</f>
        <v>0</v>
      </c>
      <c r="T110" s="8">
        <f>('June 2024 YTD'!T110*2)*1.03</f>
        <v>0</v>
      </c>
      <c r="U110" s="8">
        <f>('June 2024 YTD'!U110*2)*1.03</f>
        <v>0</v>
      </c>
      <c r="V110" s="8">
        <f>('June 2024 YTD'!V110*2)*1.03</f>
        <v>0</v>
      </c>
      <c r="W110" s="8">
        <f>('June 2024 YTD'!W110*2)*1.03</f>
        <v>0</v>
      </c>
      <c r="X110" s="8">
        <f>('June 2024 YTD'!X110*2)*1.03</f>
        <v>0</v>
      </c>
      <c r="Y110" s="8">
        <f>('June 2024 YTD'!Y110*2)*1.03</f>
        <v>0</v>
      </c>
      <c r="Z110" s="8">
        <f>('June 2024 YTD'!Z110*2)*1.03</f>
        <v>0</v>
      </c>
      <c r="AA110" s="8">
        <f>('June 2024 YTD'!AA110*2)*1.03</f>
        <v>0</v>
      </c>
      <c r="AB110" s="8">
        <f>('June 2024 YTD'!AB110*2)*1.03</f>
        <v>0</v>
      </c>
      <c r="AC110" s="8">
        <f>('June 2024 YTD'!AC110*2)*1.03</f>
        <v>0</v>
      </c>
      <c r="AD110" s="8">
        <f>('June 2024 YTD'!AD110*2)*1.03</f>
        <v>0</v>
      </c>
      <c r="AE110" s="8">
        <v>0</v>
      </c>
      <c r="AF110" s="8">
        <f>('June 2024 YTD'!AE110*2)*1.03</f>
        <v>0</v>
      </c>
      <c r="AG110" s="8">
        <f>('June 2024 YTD'!AF110*2)*1.03</f>
        <v>0</v>
      </c>
      <c r="AH110" s="8">
        <f>('June 2024 YTD'!AG110*2)*1.03</f>
        <v>0</v>
      </c>
      <c r="AI110" s="8">
        <v>0</v>
      </c>
      <c r="AJ110" s="88">
        <v>0</v>
      </c>
      <c r="AK110" s="88">
        <v>0</v>
      </c>
      <c r="AL110" s="88">
        <v>0</v>
      </c>
      <c r="AM110" s="88">
        <v>0</v>
      </c>
      <c r="AN110" s="88">
        <v>0</v>
      </c>
      <c r="AO110" s="88">
        <v>0</v>
      </c>
      <c r="AP110" s="88">
        <v>0</v>
      </c>
      <c r="AQ110" s="8">
        <f>('June 2024 YTD'!AI110*2)*1.03</f>
        <v>0</v>
      </c>
      <c r="AR110" s="8">
        <f>('June 2024 YTD'!AJ110*2)*1.03</f>
        <v>0</v>
      </c>
      <c r="AS110" s="88">
        <v>0</v>
      </c>
      <c r="AT110" s="8">
        <f>('June 2024 YTD'!AK110*2)*1.03</f>
        <v>0</v>
      </c>
      <c r="AU110" s="88">
        <v>0</v>
      </c>
      <c r="AV110" s="88">
        <v>0</v>
      </c>
      <c r="AW110" s="8">
        <f>('June 2024 YTD'!AN110*2)*1.03</f>
        <v>0</v>
      </c>
      <c r="AX110" s="8">
        <f>('June 2024 YTD'!AO110*2)*1.03</f>
        <v>0</v>
      </c>
      <c r="AY110" s="88">
        <v>0</v>
      </c>
      <c r="AZ110" s="8">
        <f>('June 2024 YTD'!AP110*2)*1.03</f>
        <v>0</v>
      </c>
      <c r="BA110" s="8">
        <f>('June 2024 YTD'!AQ110*2)*1.03</f>
        <v>107.30540000000001</v>
      </c>
      <c r="BB110" s="8">
        <f>('June 2024 YTD'!AR110*2)*1.03</f>
        <v>0</v>
      </c>
      <c r="BC110" s="88">
        <v>0</v>
      </c>
      <c r="BD110" s="88">
        <v>0</v>
      </c>
      <c r="BE110" s="88">
        <v>0</v>
      </c>
      <c r="BF110" s="88">
        <v>0</v>
      </c>
      <c r="BG110" s="8">
        <f>('June 2024 YTD'!AS110*2)*1.03</f>
        <v>0</v>
      </c>
      <c r="BH110" s="8">
        <f>('June 2024 YTD'!AT110*2)*1.03</f>
        <v>0</v>
      </c>
      <c r="BI110" s="8">
        <f>('June 2024 YTD'!AU110*2)*1.03</f>
        <v>0</v>
      </c>
      <c r="BJ110" s="8">
        <f>('June 2024 YTD'!AV110*2)*1.03</f>
        <v>0</v>
      </c>
      <c r="BK110" s="8">
        <f>('June 2024 YTD'!AW110*2)*1.03</f>
        <v>0</v>
      </c>
      <c r="BL110" s="8">
        <f>('June 2024 YTD'!AX110*2)*1.03</f>
        <v>0</v>
      </c>
      <c r="BM110" s="8">
        <f>('June 2024 YTD'!AY110*2)*1.03</f>
        <v>0</v>
      </c>
      <c r="BN110" s="8">
        <f>('June 2024 YTD'!AZ110*2)*1.03</f>
        <v>0</v>
      </c>
      <c r="BO110" s="8">
        <f>('June 2024 YTD'!BA110*2)*1.03</f>
        <v>1078.925</v>
      </c>
      <c r="BP110" s="8">
        <f>('June 2024 YTD'!BB110*2)*1.03</f>
        <v>0</v>
      </c>
      <c r="BQ110" s="8">
        <f>('June 2024 YTD'!BC110*2)*1.03</f>
        <v>0</v>
      </c>
      <c r="BR110" s="8">
        <f>('June 2024 YTD'!BD110*2)*1.03</f>
        <v>0</v>
      </c>
      <c r="BS110" s="8">
        <f>('June 2024 YTD'!BE110*2)*1.03</f>
        <v>0</v>
      </c>
      <c r="BT110" s="8">
        <f>('June 2024 YTD'!BF110*2)*1.03</f>
        <v>0</v>
      </c>
      <c r="BU110" s="8">
        <f>('June 2024 YTD'!BG110*2)*1.03</f>
        <v>0</v>
      </c>
      <c r="BV110" s="8">
        <f>('June 2024 YTD'!BH110*2)*1.03</f>
        <v>0</v>
      </c>
      <c r="BW110" s="8">
        <f>('June 2024 YTD'!BI110*2)*1.03</f>
        <v>0</v>
      </c>
      <c r="BX110" s="88">
        <v>0</v>
      </c>
      <c r="BY110" s="88">
        <v>0</v>
      </c>
      <c r="BZ110" s="88">
        <v>0</v>
      </c>
      <c r="CA110" s="8">
        <f t="shared" ref="CA110:CA113" si="114">SUM(B110:BZ110)</f>
        <v>1186.2303999999999</v>
      </c>
      <c r="CB110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10" s="85" t="e">
        <f t="shared" ref="CC110:CC114" si="115">CA110-CB110</f>
        <v>#REF!</v>
      </c>
    </row>
    <row r="111" spans="1:81">
      <c r="A111" s="78" t="s">
        <v>188</v>
      </c>
      <c r="B111" s="8">
        <v>0</v>
      </c>
      <c r="C111" s="8">
        <f>('June 2024 YTD'!C111*2)*1.03</f>
        <v>4479.7995999999994</v>
      </c>
      <c r="D111" s="8">
        <f>('June 2024 YTD'!D111*2)*1.03</f>
        <v>0</v>
      </c>
      <c r="E111" s="8">
        <f>('June 2024 YTD'!E111*2)*1.03</f>
        <v>0</v>
      </c>
      <c r="F111" s="8">
        <f>('June 2024 YTD'!F111*2)*1.03</f>
        <v>0</v>
      </c>
      <c r="G111" s="8">
        <f>('June 2024 YTD'!G111*2)*1.03</f>
        <v>0</v>
      </c>
      <c r="H111" s="8">
        <f>('June 2024 YTD'!H111*2)*1.03</f>
        <v>0</v>
      </c>
      <c r="I111" s="8">
        <f>('June 2024 YTD'!I111*2)*1.03</f>
        <v>0</v>
      </c>
      <c r="J111" s="8">
        <f>('June 2024 YTD'!J111*2)*1.03</f>
        <v>0</v>
      </c>
      <c r="K111" s="8">
        <f>('June 2024 YTD'!K111*2)*1.03</f>
        <v>0</v>
      </c>
      <c r="L111" s="8">
        <f>('June 2024 YTD'!L111*2)*1.03</f>
        <v>0</v>
      </c>
      <c r="M111" s="8">
        <f>('June 2024 YTD'!M111*2)*1.03</f>
        <v>0</v>
      </c>
      <c r="N111" s="8">
        <f>('June 2024 YTD'!N111*2)*1.03</f>
        <v>0</v>
      </c>
      <c r="O111" s="8">
        <f>('June 2024 YTD'!O111*2)*1.03</f>
        <v>0</v>
      </c>
      <c r="P111" s="8">
        <f>('June 2024 YTD'!P111*2)*1.03</f>
        <v>0</v>
      </c>
      <c r="Q111" s="8">
        <f>('June 2024 YTD'!Q111*2)*1.03</f>
        <v>0</v>
      </c>
      <c r="R111" s="8">
        <f>('June 2024 YTD'!R111*2)*1.03</f>
        <v>0</v>
      </c>
      <c r="S111" s="8">
        <f>('June 2024 YTD'!S111*2)*1.03</f>
        <v>0</v>
      </c>
      <c r="T111" s="8">
        <f>('June 2024 YTD'!T111*2)*1.03</f>
        <v>0</v>
      </c>
      <c r="U111" s="8">
        <f>('June 2024 YTD'!U111*2)*1.03</f>
        <v>0</v>
      </c>
      <c r="V111" s="8">
        <f>('June 2024 YTD'!V111*2)*1.03</f>
        <v>0</v>
      </c>
      <c r="W111" s="8">
        <f>('June 2024 YTD'!W111*2)*1.03</f>
        <v>0</v>
      </c>
      <c r="X111" s="8">
        <f>('June 2024 YTD'!X111*2)*1.03</f>
        <v>0</v>
      </c>
      <c r="Y111" s="8">
        <f>('June 2024 YTD'!Y111*2)*1.03</f>
        <v>0</v>
      </c>
      <c r="Z111" s="8">
        <f>('June 2024 YTD'!Z111*2)*1.03</f>
        <v>0</v>
      </c>
      <c r="AA111" s="8">
        <f>('June 2024 YTD'!AA111*2)*1.03</f>
        <v>0</v>
      </c>
      <c r="AB111" s="8">
        <f>('June 2024 YTD'!AB111*2)*1.03</f>
        <v>0</v>
      </c>
      <c r="AC111" s="8">
        <f>('June 2024 YTD'!AC111*2)*1.03</f>
        <v>0</v>
      </c>
      <c r="AD111" s="8">
        <f>('June 2024 YTD'!AD111*2)*1.03</f>
        <v>0</v>
      </c>
      <c r="AE111" s="8">
        <v>0</v>
      </c>
      <c r="AF111" s="8">
        <f>('June 2024 YTD'!AE111*2)*1.03</f>
        <v>0</v>
      </c>
      <c r="AG111" s="8">
        <f>('June 2024 YTD'!AF111*2)*1.03</f>
        <v>0</v>
      </c>
      <c r="AH111" s="8">
        <f>('June 2024 YTD'!AG111*2)*1.03</f>
        <v>0</v>
      </c>
      <c r="AI111" s="8">
        <v>0</v>
      </c>
      <c r="AJ111" s="88">
        <v>0</v>
      </c>
      <c r="AK111" s="88">
        <v>0</v>
      </c>
      <c r="AL111" s="88">
        <v>0</v>
      </c>
      <c r="AM111" s="88">
        <v>0</v>
      </c>
      <c r="AN111" s="88">
        <v>0</v>
      </c>
      <c r="AO111" s="88">
        <v>0</v>
      </c>
      <c r="AP111" s="88">
        <v>0</v>
      </c>
      <c r="AQ111" s="8">
        <f>('June 2024 YTD'!AI111*2)*1.03</f>
        <v>0</v>
      </c>
      <c r="AR111" s="8">
        <f>('June 2024 YTD'!AJ111*2)*1.03</f>
        <v>0</v>
      </c>
      <c r="AS111" s="88">
        <v>0</v>
      </c>
      <c r="AT111" s="8">
        <f>('June 2024 YTD'!AK111*2)*1.03</f>
        <v>0</v>
      </c>
      <c r="AU111" s="88">
        <v>0</v>
      </c>
      <c r="AV111" s="88">
        <v>0</v>
      </c>
      <c r="AW111" s="8">
        <f>('June 2024 YTD'!AN111*2)*1.03</f>
        <v>0</v>
      </c>
      <c r="AX111" s="8">
        <f>('June 2024 YTD'!AO111*2)*1.03</f>
        <v>0</v>
      </c>
      <c r="AY111" s="88">
        <v>0</v>
      </c>
      <c r="AZ111" s="8">
        <f>('June 2024 YTD'!AP111*2)*1.03</f>
        <v>0</v>
      </c>
      <c r="BA111" s="8">
        <f>('June 2024 YTD'!AQ111*2)*1.03</f>
        <v>0</v>
      </c>
      <c r="BB111" s="8">
        <f>('June 2024 YTD'!AR111*2)*1.03</f>
        <v>0</v>
      </c>
      <c r="BC111" s="88">
        <v>0</v>
      </c>
      <c r="BD111" s="88">
        <v>0</v>
      </c>
      <c r="BE111" s="88">
        <v>0</v>
      </c>
      <c r="BF111" s="88">
        <v>0</v>
      </c>
      <c r="BG111" s="8">
        <f>('June 2024 YTD'!AS111*2)*1.03</f>
        <v>0</v>
      </c>
      <c r="BH111" s="8">
        <f>('June 2024 YTD'!AT111*2)*1.03</f>
        <v>0</v>
      </c>
      <c r="BI111" s="8">
        <f>('June 2024 YTD'!AU111*2)*1.03</f>
        <v>0</v>
      </c>
      <c r="BJ111" s="8">
        <f>('June 2024 YTD'!AV111*2)*1.03</f>
        <v>0</v>
      </c>
      <c r="BK111" s="8">
        <f>('June 2024 YTD'!AW111*2)*1.03</f>
        <v>0</v>
      </c>
      <c r="BL111" s="8">
        <f>('June 2024 YTD'!AX111*2)*1.03</f>
        <v>0</v>
      </c>
      <c r="BM111" s="8">
        <f>('June 2024 YTD'!AY111*2)*1.03</f>
        <v>0</v>
      </c>
      <c r="BN111" s="8">
        <f>('June 2024 YTD'!AZ111*2)*1.03</f>
        <v>0</v>
      </c>
      <c r="BO111" s="8">
        <f>('June 2024 YTD'!BA111*2)*1.03</f>
        <v>18792.762000000002</v>
      </c>
      <c r="BP111" s="8">
        <f>('June 2024 YTD'!BB111*2)*1.03</f>
        <v>0</v>
      </c>
      <c r="BQ111" s="8">
        <f>('June 2024 YTD'!BC111*2)*1.03</f>
        <v>0</v>
      </c>
      <c r="BR111" s="8">
        <f>('June 2024 YTD'!BD111*2)*1.03</f>
        <v>0</v>
      </c>
      <c r="BS111" s="8">
        <f>('June 2024 YTD'!BE111*2)*1.03</f>
        <v>0</v>
      </c>
      <c r="BT111" s="8">
        <f>('June 2024 YTD'!BF111*2)*1.03</f>
        <v>0</v>
      </c>
      <c r="BU111" s="8">
        <f>('June 2024 YTD'!BG111*2)*1.03</f>
        <v>0</v>
      </c>
      <c r="BV111" s="8">
        <f>('June 2024 YTD'!BH111*2)*1.03</f>
        <v>0</v>
      </c>
      <c r="BW111" s="8">
        <f>('June 2024 YTD'!BI111*2)*1.03</f>
        <v>0</v>
      </c>
      <c r="BX111" s="88">
        <v>0</v>
      </c>
      <c r="BY111" s="88">
        <v>0</v>
      </c>
      <c r="BZ111" s="88">
        <v>0</v>
      </c>
      <c r="CA111" s="8">
        <f t="shared" si="114"/>
        <v>23272.561600000001</v>
      </c>
      <c r="CB111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11" s="85" t="e">
        <f t="shared" si="115"/>
        <v>#REF!</v>
      </c>
    </row>
    <row r="112" spans="1:81">
      <c r="A112" s="78" t="s">
        <v>189</v>
      </c>
      <c r="B112" s="8">
        <v>0</v>
      </c>
      <c r="C112" s="8">
        <f>('June 2024 YTD'!C112*2)*1.03</f>
        <v>183.958</v>
      </c>
      <c r="D112" s="8">
        <f>('June 2024 YTD'!D112*2)*1.03</f>
        <v>0</v>
      </c>
      <c r="E112" s="8">
        <f>('June 2024 YTD'!E112*2)*1.03</f>
        <v>0</v>
      </c>
      <c r="F112" s="8">
        <f>('June 2024 YTD'!F112*2)*1.03</f>
        <v>0</v>
      </c>
      <c r="G112" s="8">
        <f>('June 2024 YTD'!G112*2)*1.03</f>
        <v>0</v>
      </c>
      <c r="H112" s="8">
        <f>('June 2024 YTD'!H112*2)*1.03</f>
        <v>0</v>
      </c>
      <c r="I112" s="8">
        <f>('June 2024 YTD'!I112*2)*1.03</f>
        <v>0</v>
      </c>
      <c r="J112" s="8">
        <f>('June 2024 YTD'!J112*2)*1.03</f>
        <v>0</v>
      </c>
      <c r="K112" s="8">
        <f>('June 2024 YTD'!K112*2)*1.03</f>
        <v>0</v>
      </c>
      <c r="L112" s="8">
        <f>('June 2024 YTD'!L112*2)*1.03</f>
        <v>0</v>
      </c>
      <c r="M112" s="8">
        <f>('June 2024 YTD'!M112*2)*1.03</f>
        <v>0</v>
      </c>
      <c r="N112" s="8">
        <f>('June 2024 YTD'!N112*2)*1.03</f>
        <v>0</v>
      </c>
      <c r="O112" s="8">
        <f>('June 2024 YTD'!O112*2)*1.03</f>
        <v>0</v>
      </c>
      <c r="P112" s="8">
        <f>('June 2024 YTD'!P112*2)*1.03</f>
        <v>0</v>
      </c>
      <c r="Q112" s="8">
        <f>('June 2024 YTD'!Q112*2)*1.03</f>
        <v>0</v>
      </c>
      <c r="R112" s="8">
        <f>('June 2024 YTD'!R112*2)*1.03</f>
        <v>0</v>
      </c>
      <c r="S112" s="8">
        <f>('June 2024 YTD'!S112*2)*1.03</f>
        <v>0</v>
      </c>
      <c r="T112" s="8">
        <f>('June 2024 YTD'!T112*2)*1.03</f>
        <v>0</v>
      </c>
      <c r="U112" s="8">
        <f>('June 2024 YTD'!U112*2)*1.03</f>
        <v>0</v>
      </c>
      <c r="V112" s="8">
        <f>('June 2024 YTD'!V112*2)*1.03</f>
        <v>0</v>
      </c>
      <c r="W112" s="8">
        <f>('June 2024 YTD'!W112*2)*1.03</f>
        <v>0</v>
      </c>
      <c r="X112" s="8">
        <f>('June 2024 YTD'!X112*2)*1.03</f>
        <v>0</v>
      </c>
      <c r="Y112" s="8">
        <f>('June 2024 YTD'!Y112*2)*1.03</f>
        <v>0</v>
      </c>
      <c r="Z112" s="8">
        <f>('June 2024 YTD'!Z112*2)*1.03</f>
        <v>0</v>
      </c>
      <c r="AA112" s="8">
        <f>('June 2024 YTD'!AA112*2)*1.03</f>
        <v>0</v>
      </c>
      <c r="AB112" s="8">
        <f>('June 2024 YTD'!AB112*2)*1.03</f>
        <v>0</v>
      </c>
      <c r="AC112" s="8">
        <f>('June 2024 YTD'!AC112*2)*1.03</f>
        <v>0</v>
      </c>
      <c r="AD112" s="8">
        <f>('June 2024 YTD'!AD112*2)*1.03</f>
        <v>0</v>
      </c>
      <c r="AE112" s="8">
        <v>0</v>
      </c>
      <c r="AF112" s="8">
        <f>('June 2024 YTD'!AE112*2)*1.03</f>
        <v>0</v>
      </c>
      <c r="AG112" s="8">
        <f>('June 2024 YTD'!AF112*2)*1.03</f>
        <v>0</v>
      </c>
      <c r="AH112" s="8">
        <f>('June 2024 YTD'!AG112*2)*1.03</f>
        <v>0</v>
      </c>
      <c r="AI112" s="8">
        <v>0</v>
      </c>
      <c r="AJ112" s="88">
        <v>0</v>
      </c>
      <c r="AK112" s="88">
        <v>0</v>
      </c>
      <c r="AL112" s="88">
        <v>0</v>
      </c>
      <c r="AM112" s="88">
        <v>0</v>
      </c>
      <c r="AN112" s="88">
        <v>0</v>
      </c>
      <c r="AO112" s="88">
        <v>0</v>
      </c>
      <c r="AP112" s="88">
        <v>0</v>
      </c>
      <c r="AQ112" s="8">
        <f>('June 2024 YTD'!AI112*2)*1.03</f>
        <v>0</v>
      </c>
      <c r="AR112" s="8">
        <f>('June 2024 YTD'!AJ112*2)*1.03</f>
        <v>0</v>
      </c>
      <c r="AS112" s="88">
        <v>0</v>
      </c>
      <c r="AT112" s="8">
        <f>('June 2024 YTD'!AK112*2)*1.03</f>
        <v>0</v>
      </c>
      <c r="AU112" s="88">
        <v>0</v>
      </c>
      <c r="AV112" s="88">
        <v>0</v>
      </c>
      <c r="AW112" s="8">
        <f>('June 2024 YTD'!AN112*2)*1.03</f>
        <v>0</v>
      </c>
      <c r="AX112" s="8">
        <f>('June 2024 YTD'!AO112*2)*1.03</f>
        <v>0</v>
      </c>
      <c r="AY112" s="88">
        <v>0</v>
      </c>
      <c r="AZ112" s="8">
        <f>('June 2024 YTD'!AP112*2)*1.03</f>
        <v>0</v>
      </c>
      <c r="BA112" s="8">
        <f>('June 2024 YTD'!AQ112*2)*1.03</f>
        <v>0</v>
      </c>
      <c r="BB112" s="8">
        <f>('June 2024 YTD'!AR112*2)*1.03</f>
        <v>0</v>
      </c>
      <c r="BC112" s="88">
        <v>0</v>
      </c>
      <c r="BD112" s="88">
        <v>0</v>
      </c>
      <c r="BE112" s="88">
        <v>0</v>
      </c>
      <c r="BF112" s="88">
        <v>0</v>
      </c>
      <c r="BG112" s="8">
        <f>('June 2024 YTD'!AS112*2)*1.03</f>
        <v>0</v>
      </c>
      <c r="BH112" s="8">
        <f>('June 2024 YTD'!AT112*2)*1.03</f>
        <v>0</v>
      </c>
      <c r="BI112" s="8">
        <f>('June 2024 YTD'!AU112*2)*1.03</f>
        <v>0</v>
      </c>
      <c r="BJ112" s="8">
        <f>('June 2024 YTD'!AV112*2)*1.03</f>
        <v>0</v>
      </c>
      <c r="BK112" s="8">
        <f>('June 2024 YTD'!AW112*2)*1.03</f>
        <v>0</v>
      </c>
      <c r="BL112" s="8">
        <f>('June 2024 YTD'!AX112*2)*1.03</f>
        <v>0</v>
      </c>
      <c r="BM112" s="8">
        <f>('June 2024 YTD'!AY112*2)*1.03</f>
        <v>0</v>
      </c>
      <c r="BN112" s="8">
        <f>('June 2024 YTD'!AZ112*2)*1.03</f>
        <v>0</v>
      </c>
      <c r="BO112" s="8">
        <f>('June 2024 YTD'!BA112*2)*1.03</f>
        <v>0</v>
      </c>
      <c r="BP112" s="8">
        <f>('June 2024 YTD'!BB112*2)*1.03</f>
        <v>0</v>
      </c>
      <c r="BQ112" s="8">
        <f>('June 2024 YTD'!BC112*2)*1.03</f>
        <v>0</v>
      </c>
      <c r="BR112" s="8">
        <f>('June 2024 YTD'!BD112*2)*1.03</f>
        <v>0</v>
      </c>
      <c r="BS112" s="8">
        <f>('June 2024 YTD'!BE112*2)*1.03</f>
        <v>0</v>
      </c>
      <c r="BT112" s="8">
        <f>('June 2024 YTD'!BF112*2)*1.03</f>
        <v>0</v>
      </c>
      <c r="BU112" s="8">
        <f>('June 2024 YTD'!BG112*2)*1.03</f>
        <v>0</v>
      </c>
      <c r="BV112" s="8">
        <f>('June 2024 YTD'!BH112*2)*1.03</f>
        <v>0</v>
      </c>
      <c r="BW112" s="8">
        <f>('June 2024 YTD'!BI112*2)*1.03</f>
        <v>0</v>
      </c>
      <c r="BX112" s="88">
        <v>0</v>
      </c>
      <c r="BY112" s="88">
        <v>0</v>
      </c>
      <c r="BZ112" s="88">
        <v>0</v>
      </c>
      <c r="CA112" s="8">
        <f t="shared" si="114"/>
        <v>183.958</v>
      </c>
      <c r="CB112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12" s="85" t="e">
        <f t="shared" si="115"/>
        <v>#REF!</v>
      </c>
    </row>
    <row r="113" spans="1:81">
      <c r="A113" s="78" t="s">
        <v>190</v>
      </c>
      <c r="B113" s="8">
        <v>0</v>
      </c>
      <c r="C113" s="8">
        <f>('June 2024 YTD'!C113*2)*1.03</f>
        <v>0</v>
      </c>
      <c r="D113" s="8">
        <f>('June 2024 YTD'!D113*2)*1.03</f>
        <v>0</v>
      </c>
      <c r="E113" s="8">
        <f>('June 2024 YTD'!E113*2)*1.03</f>
        <v>0</v>
      </c>
      <c r="F113" s="8">
        <f>('June 2024 YTD'!F113*2)*1.03</f>
        <v>0</v>
      </c>
      <c r="G113" s="8">
        <f>('June 2024 YTD'!G113*2)*1.03</f>
        <v>0</v>
      </c>
      <c r="H113" s="8">
        <f>('June 2024 YTD'!H113*2)*1.03</f>
        <v>0</v>
      </c>
      <c r="I113" s="8">
        <f>('June 2024 YTD'!I113*2)*1.03</f>
        <v>0</v>
      </c>
      <c r="J113" s="8">
        <f>('June 2024 YTD'!J113*2)*1.03</f>
        <v>0</v>
      </c>
      <c r="K113" s="8">
        <f>('June 2024 YTD'!K113*2)*1.03</f>
        <v>0</v>
      </c>
      <c r="L113" s="8">
        <f>('June 2024 YTD'!L113*2)*1.03</f>
        <v>0</v>
      </c>
      <c r="M113" s="8">
        <f>('June 2024 YTD'!M113*2)*1.03</f>
        <v>0</v>
      </c>
      <c r="N113" s="8">
        <f>('June 2024 YTD'!N113*2)*1.03</f>
        <v>0</v>
      </c>
      <c r="O113" s="8">
        <f>('June 2024 YTD'!O113*2)*1.03</f>
        <v>0</v>
      </c>
      <c r="P113" s="8">
        <f>('June 2024 YTD'!P113*2)*1.03</f>
        <v>0</v>
      </c>
      <c r="Q113" s="8">
        <f>('June 2024 YTD'!Q113*2)*1.03</f>
        <v>0</v>
      </c>
      <c r="R113" s="8">
        <f>('June 2024 YTD'!R113*2)*1.03</f>
        <v>0</v>
      </c>
      <c r="S113" s="8">
        <f>('June 2024 YTD'!S113*2)*1.03</f>
        <v>0</v>
      </c>
      <c r="T113" s="8">
        <f>('June 2024 YTD'!T113*2)*1.03</f>
        <v>0</v>
      </c>
      <c r="U113" s="8">
        <f>('June 2024 YTD'!U113*2)*1.03</f>
        <v>0</v>
      </c>
      <c r="V113" s="8">
        <f>('June 2024 YTD'!V113*2)*1.03</f>
        <v>0</v>
      </c>
      <c r="W113" s="8">
        <f>('June 2024 YTD'!W113*2)*1.03</f>
        <v>0</v>
      </c>
      <c r="X113" s="8">
        <f>('June 2024 YTD'!X113*2)*1.03</f>
        <v>0</v>
      </c>
      <c r="Y113" s="8">
        <f>('June 2024 YTD'!Y113*2)*1.03</f>
        <v>0</v>
      </c>
      <c r="Z113" s="8">
        <f>('June 2024 YTD'!Z113*2)*1.03</f>
        <v>0</v>
      </c>
      <c r="AA113" s="8">
        <f>('June 2024 YTD'!AA113*2)*1.03</f>
        <v>0</v>
      </c>
      <c r="AB113" s="8">
        <f>('June 2024 YTD'!AB113*2)*1.03</f>
        <v>0</v>
      </c>
      <c r="AC113" s="8">
        <f>('June 2024 YTD'!AC113*2)*1.03</f>
        <v>0</v>
      </c>
      <c r="AD113" s="8">
        <f>('June 2024 YTD'!AD113*2)*1.03</f>
        <v>0</v>
      </c>
      <c r="AE113" s="8">
        <v>0</v>
      </c>
      <c r="AF113" s="8">
        <f>('June 2024 YTD'!AE113*2)*1.03</f>
        <v>0</v>
      </c>
      <c r="AG113" s="8">
        <f>('June 2024 YTD'!AF113*2)*1.03</f>
        <v>0</v>
      </c>
      <c r="AH113" s="8">
        <f>('June 2024 YTD'!AG113*2)*1.03</f>
        <v>0</v>
      </c>
      <c r="AI113" s="8">
        <v>0</v>
      </c>
      <c r="AJ113" s="88">
        <v>0</v>
      </c>
      <c r="AK113" s="88">
        <v>0</v>
      </c>
      <c r="AL113" s="88">
        <v>0</v>
      </c>
      <c r="AM113" s="88">
        <v>0</v>
      </c>
      <c r="AN113" s="88">
        <v>0</v>
      </c>
      <c r="AO113" s="88">
        <v>0</v>
      </c>
      <c r="AP113" s="88">
        <v>0</v>
      </c>
      <c r="AQ113" s="8">
        <f>('June 2024 YTD'!AI113*2)*1.03</f>
        <v>0</v>
      </c>
      <c r="AR113" s="8">
        <f>('June 2024 YTD'!AJ113*2)*1.03</f>
        <v>0</v>
      </c>
      <c r="AS113" s="88">
        <v>0</v>
      </c>
      <c r="AT113" s="8">
        <f>('June 2024 YTD'!AK113*2)*1.03</f>
        <v>0</v>
      </c>
      <c r="AU113" s="88">
        <v>0</v>
      </c>
      <c r="AV113" s="88">
        <v>0</v>
      </c>
      <c r="AW113" s="8">
        <f>('June 2024 YTD'!AN113*2)*1.03</f>
        <v>0</v>
      </c>
      <c r="AX113" s="8">
        <f>('June 2024 YTD'!AO113*2)*1.03</f>
        <v>0</v>
      </c>
      <c r="AY113" s="88">
        <v>0</v>
      </c>
      <c r="AZ113" s="8">
        <f>('June 2024 YTD'!AP113*2)*1.03</f>
        <v>0</v>
      </c>
      <c r="BA113" s="8">
        <f>('June 2024 YTD'!AQ113*2)*1.03</f>
        <v>0</v>
      </c>
      <c r="BB113" s="8">
        <f>('June 2024 YTD'!AR113*2)*1.03</f>
        <v>0</v>
      </c>
      <c r="BC113" s="88">
        <v>0</v>
      </c>
      <c r="BD113" s="88">
        <v>0</v>
      </c>
      <c r="BE113" s="88">
        <v>0</v>
      </c>
      <c r="BF113" s="88">
        <v>0</v>
      </c>
      <c r="BG113" s="8">
        <f>('June 2024 YTD'!AS113*2)*1.03</f>
        <v>0</v>
      </c>
      <c r="BH113" s="8">
        <f>('June 2024 YTD'!AT113*2)*1.03</f>
        <v>0</v>
      </c>
      <c r="BI113" s="8">
        <f>('June 2024 YTD'!AU113*2)*1.03</f>
        <v>0</v>
      </c>
      <c r="BJ113" s="8">
        <f>('June 2024 YTD'!AV113*2)*1.03</f>
        <v>0</v>
      </c>
      <c r="BK113" s="8">
        <f>('June 2024 YTD'!AW113*2)*1.03</f>
        <v>0</v>
      </c>
      <c r="BL113" s="8">
        <f>('June 2024 YTD'!AX113*2)*1.03</f>
        <v>0</v>
      </c>
      <c r="BM113" s="8">
        <f>('June 2024 YTD'!AY113*2)*1.03</f>
        <v>0</v>
      </c>
      <c r="BN113" s="8">
        <f>('June 2024 YTD'!AZ113*2)*1.03</f>
        <v>0</v>
      </c>
      <c r="BO113" s="8">
        <f>('June 2024 YTD'!BA113*2)*1.03</f>
        <v>3435.8328000000001</v>
      </c>
      <c r="BP113" s="8">
        <f>('June 2024 YTD'!BB113*2)*1.03</f>
        <v>0</v>
      </c>
      <c r="BQ113" s="8">
        <f>('June 2024 YTD'!BC113*2)*1.03</f>
        <v>0</v>
      </c>
      <c r="BR113" s="8">
        <f>('June 2024 YTD'!BD113*2)*1.03</f>
        <v>0</v>
      </c>
      <c r="BS113" s="8">
        <f>('June 2024 YTD'!BE113*2)*1.03</f>
        <v>0</v>
      </c>
      <c r="BT113" s="8">
        <f>('June 2024 YTD'!BF113*2)*1.03</f>
        <v>0</v>
      </c>
      <c r="BU113" s="8">
        <f>('June 2024 YTD'!BG113*2)*1.03</f>
        <v>0</v>
      </c>
      <c r="BV113" s="8">
        <f>('June 2024 YTD'!BH113*2)*1.03</f>
        <v>0</v>
      </c>
      <c r="BW113" s="8">
        <f>('June 2024 YTD'!BI113*2)*1.03</f>
        <v>0</v>
      </c>
      <c r="BX113" s="88">
        <v>0</v>
      </c>
      <c r="BY113" s="88">
        <v>0</v>
      </c>
      <c r="BZ113" s="88">
        <v>0</v>
      </c>
      <c r="CA113" s="8">
        <f t="shared" si="114"/>
        <v>3435.8328000000001</v>
      </c>
      <c r="CB113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13" s="85" t="e">
        <f t="shared" si="115"/>
        <v>#REF!</v>
      </c>
    </row>
    <row r="114" spans="1:81">
      <c r="A114" s="9" t="s">
        <v>191</v>
      </c>
      <c r="B114" s="10">
        <f t="shared" ref="B114:BN114" si="116">SUM(B110:B113)</f>
        <v>0</v>
      </c>
      <c r="C114" s="10">
        <f t="shared" si="116"/>
        <v>4663.757599999999</v>
      </c>
      <c r="D114" s="10">
        <f t="shared" si="116"/>
        <v>0</v>
      </c>
      <c r="E114" s="10">
        <f t="shared" si="116"/>
        <v>0</v>
      </c>
      <c r="F114" s="10">
        <f t="shared" si="116"/>
        <v>0</v>
      </c>
      <c r="G114" s="10">
        <f t="shared" si="116"/>
        <v>0</v>
      </c>
      <c r="H114" s="10">
        <f t="shared" si="116"/>
        <v>0</v>
      </c>
      <c r="I114" s="10">
        <f t="shared" si="116"/>
        <v>0</v>
      </c>
      <c r="J114" s="10">
        <f t="shared" si="116"/>
        <v>0</v>
      </c>
      <c r="K114" s="10">
        <f t="shared" si="116"/>
        <v>0</v>
      </c>
      <c r="L114" s="10">
        <f t="shared" si="116"/>
        <v>0</v>
      </c>
      <c r="M114" s="10">
        <f t="shared" si="116"/>
        <v>0</v>
      </c>
      <c r="N114" s="10">
        <f t="shared" si="116"/>
        <v>0</v>
      </c>
      <c r="O114" s="10">
        <f t="shared" si="116"/>
        <v>0</v>
      </c>
      <c r="P114" s="10">
        <f t="shared" si="116"/>
        <v>0</v>
      </c>
      <c r="Q114" s="10">
        <f t="shared" si="116"/>
        <v>0</v>
      </c>
      <c r="R114" s="10">
        <f t="shared" si="116"/>
        <v>0</v>
      </c>
      <c r="S114" s="10">
        <f t="shared" si="116"/>
        <v>0</v>
      </c>
      <c r="T114" s="10">
        <f t="shared" si="116"/>
        <v>0</v>
      </c>
      <c r="U114" s="10">
        <f t="shared" si="116"/>
        <v>0</v>
      </c>
      <c r="V114" s="10">
        <f t="shared" si="116"/>
        <v>0</v>
      </c>
      <c r="W114" s="10">
        <f t="shared" si="116"/>
        <v>0</v>
      </c>
      <c r="X114" s="10">
        <f t="shared" si="116"/>
        <v>0</v>
      </c>
      <c r="Y114" s="10">
        <f t="shared" si="116"/>
        <v>0</v>
      </c>
      <c r="Z114" s="10">
        <f t="shared" si="116"/>
        <v>0</v>
      </c>
      <c r="AA114" s="10">
        <f t="shared" si="116"/>
        <v>0</v>
      </c>
      <c r="AB114" s="10">
        <f t="shared" si="116"/>
        <v>0</v>
      </c>
      <c r="AC114" s="10">
        <f t="shared" si="116"/>
        <v>0</v>
      </c>
      <c r="AD114" s="10">
        <f t="shared" si="116"/>
        <v>0</v>
      </c>
      <c r="AE114" s="10">
        <f t="shared" ref="AE114" si="117">SUM(AE110:AE113)</f>
        <v>0</v>
      </c>
      <c r="AF114" s="10">
        <f t="shared" si="116"/>
        <v>0</v>
      </c>
      <c r="AG114" s="10">
        <f t="shared" si="116"/>
        <v>0</v>
      </c>
      <c r="AH114" s="10">
        <f t="shared" si="116"/>
        <v>0</v>
      </c>
      <c r="AI114" s="10">
        <f t="shared" si="116"/>
        <v>0</v>
      </c>
      <c r="AJ114" s="89">
        <f t="shared" si="116"/>
        <v>0</v>
      </c>
      <c r="AK114" s="89">
        <f t="shared" si="116"/>
        <v>0</v>
      </c>
      <c r="AL114" s="89">
        <f t="shared" si="116"/>
        <v>0</v>
      </c>
      <c r="AM114" s="89">
        <f t="shared" si="116"/>
        <v>0</v>
      </c>
      <c r="AN114" s="89">
        <f t="shared" si="116"/>
        <v>0</v>
      </c>
      <c r="AO114" s="89">
        <f t="shared" si="116"/>
        <v>0</v>
      </c>
      <c r="AP114" s="89">
        <f t="shared" si="116"/>
        <v>0</v>
      </c>
      <c r="AQ114" s="10">
        <f t="shared" si="116"/>
        <v>0</v>
      </c>
      <c r="AR114" s="10">
        <f t="shared" si="116"/>
        <v>0</v>
      </c>
      <c r="AS114" s="89">
        <f t="shared" si="116"/>
        <v>0</v>
      </c>
      <c r="AT114" s="10">
        <f t="shared" si="116"/>
        <v>0</v>
      </c>
      <c r="AU114" s="89">
        <f t="shared" si="116"/>
        <v>0</v>
      </c>
      <c r="AV114" s="89">
        <f t="shared" si="116"/>
        <v>0</v>
      </c>
      <c r="AW114" s="10">
        <f t="shared" si="116"/>
        <v>0</v>
      </c>
      <c r="AX114" s="10">
        <f t="shared" si="116"/>
        <v>0</v>
      </c>
      <c r="AY114" s="89">
        <f t="shared" si="116"/>
        <v>0</v>
      </c>
      <c r="AZ114" s="10">
        <f t="shared" si="116"/>
        <v>0</v>
      </c>
      <c r="BA114" s="10">
        <f t="shared" si="116"/>
        <v>107.30540000000001</v>
      </c>
      <c r="BB114" s="10">
        <f t="shared" si="116"/>
        <v>0</v>
      </c>
      <c r="BC114" s="89">
        <f t="shared" si="116"/>
        <v>0</v>
      </c>
      <c r="BD114" s="89">
        <f t="shared" si="116"/>
        <v>0</v>
      </c>
      <c r="BE114" s="89">
        <f t="shared" si="116"/>
        <v>0</v>
      </c>
      <c r="BF114" s="89">
        <f t="shared" si="116"/>
        <v>0</v>
      </c>
      <c r="BG114" s="10">
        <f t="shared" si="116"/>
        <v>0</v>
      </c>
      <c r="BH114" s="10">
        <f t="shared" si="116"/>
        <v>0</v>
      </c>
      <c r="BI114" s="10">
        <f t="shared" si="116"/>
        <v>0</v>
      </c>
      <c r="BJ114" s="10">
        <f t="shared" si="116"/>
        <v>0</v>
      </c>
      <c r="BK114" s="10">
        <f t="shared" si="116"/>
        <v>0</v>
      </c>
      <c r="BL114" s="10">
        <f t="shared" si="116"/>
        <v>0</v>
      </c>
      <c r="BM114" s="10">
        <f t="shared" si="116"/>
        <v>0</v>
      </c>
      <c r="BN114" s="10">
        <f t="shared" si="116"/>
        <v>0</v>
      </c>
      <c r="BO114" s="10">
        <f t="shared" ref="BO114:CB114" si="118">SUM(BO110:BO113)</f>
        <v>23307.519800000002</v>
      </c>
      <c r="BP114" s="10">
        <f t="shared" si="118"/>
        <v>0</v>
      </c>
      <c r="BQ114" s="10">
        <f t="shared" si="118"/>
        <v>0</v>
      </c>
      <c r="BR114" s="10">
        <f t="shared" si="118"/>
        <v>0</v>
      </c>
      <c r="BS114" s="10">
        <f t="shared" si="118"/>
        <v>0</v>
      </c>
      <c r="BT114" s="10">
        <f t="shared" si="118"/>
        <v>0</v>
      </c>
      <c r="BU114" s="10">
        <f t="shared" si="118"/>
        <v>0</v>
      </c>
      <c r="BV114" s="10">
        <f t="shared" si="118"/>
        <v>0</v>
      </c>
      <c r="BW114" s="10">
        <f t="shared" si="118"/>
        <v>0</v>
      </c>
      <c r="BX114" s="89">
        <f t="shared" si="118"/>
        <v>0</v>
      </c>
      <c r="BY114" s="89">
        <f t="shared" si="118"/>
        <v>0</v>
      </c>
      <c r="BZ114" s="89">
        <f t="shared" si="118"/>
        <v>0</v>
      </c>
      <c r="CA114" s="10">
        <f t="shared" si="118"/>
        <v>28078.5828</v>
      </c>
      <c r="CB114" s="10" t="e">
        <f t="shared" si="118"/>
        <v>#REF!</v>
      </c>
      <c r="CC114" s="85" t="e">
        <f t="shared" si="115"/>
        <v>#REF!</v>
      </c>
    </row>
    <row r="115" spans="1:81">
      <c r="A115" s="6" t="s">
        <v>192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87"/>
      <c r="AK115" s="87"/>
      <c r="AL115" s="87"/>
      <c r="AM115" s="87"/>
      <c r="AN115" s="87"/>
      <c r="AO115" s="87"/>
      <c r="AP115" s="87"/>
      <c r="AQ115" s="4"/>
      <c r="AR115" s="4"/>
      <c r="AS115" s="87"/>
      <c r="AT115" s="4"/>
      <c r="AU115" s="87"/>
      <c r="AV115" s="87"/>
      <c r="AW115" s="4"/>
      <c r="AX115" s="4"/>
      <c r="AY115" s="87"/>
      <c r="AZ115" s="4"/>
      <c r="BA115" s="4"/>
      <c r="BB115" s="4"/>
      <c r="BC115" s="87"/>
      <c r="BD115" s="87"/>
      <c r="BE115" s="87"/>
      <c r="BF115" s="87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87"/>
      <c r="BY115" s="87"/>
      <c r="BZ115" s="87"/>
      <c r="CA115" s="4"/>
      <c r="CC115" s="85"/>
    </row>
    <row r="116" spans="1:81">
      <c r="A116" s="78" t="s">
        <v>193</v>
      </c>
      <c r="B116" s="8">
        <v>0</v>
      </c>
      <c r="C116" s="8">
        <f>('June 2024 YTD'!C116*2)*1.03</f>
        <v>198.99599999999998</v>
      </c>
      <c r="D116" s="8">
        <f>('June 2024 YTD'!D116*2)*1.03</f>
        <v>0</v>
      </c>
      <c r="E116" s="8">
        <f>('June 2024 YTD'!E116*2)*1.03</f>
        <v>0</v>
      </c>
      <c r="F116" s="8">
        <f>('June 2024 YTD'!F116*2)*1.03</f>
        <v>0</v>
      </c>
      <c r="G116" s="8">
        <f>('June 2024 YTD'!G116*2)*1.03</f>
        <v>0</v>
      </c>
      <c r="H116" s="8">
        <f>('June 2024 YTD'!H116*2)*1.03</f>
        <v>0</v>
      </c>
      <c r="I116" s="8">
        <f>('June 2024 YTD'!I116*2)*1.03</f>
        <v>0</v>
      </c>
      <c r="J116" s="8">
        <f>('June 2024 YTD'!J116*2)*1.03</f>
        <v>0</v>
      </c>
      <c r="K116" s="8">
        <f>('June 2024 YTD'!K116*2)*1.03</f>
        <v>0</v>
      </c>
      <c r="L116" s="8">
        <f>('June 2024 YTD'!L116*2)*1.03</f>
        <v>0</v>
      </c>
      <c r="M116" s="8">
        <f>('June 2024 YTD'!M116*2)*1.03</f>
        <v>0</v>
      </c>
      <c r="N116" s="8">
        <f>('June 2024 YTD'!N116*2)*1.03</f>
        <v>0</v>
      </c>
      <c r="O116" s="8">
        <f>('June 2024 YTD'!O116*2)*1.03</f>
        <v>0</v>
      </c>
      <c r="P116" s="8">
        <f>('June 2024 YTD'!P116*2)*1.03</f>
        <v>0</v>
      </c>
      <c r="Q116" s="8">
        <f>('June 2024 YTD'!Q116*2)*1.03</f>
        <v>0</v>
      </c>
      <c r="R116" s="8">
        <f>('June 2024 YTD'!R116*2)*1.03</f>
        <v>0</v>
      </c>
      <c r="S116" s="8">
        <f>('June 2024 YTD'!S116*2)*1.03</f>
        <v>0</v>
      </c>
      <c r="T116" s="8">
        <f>('June 2024 YTD'!T116*2)*1.03</f>
        <v>0</v>
      </c>
      <c r="U116" s="8">
        <f>('June 2024 YTD'!U116*2)*1.03</f>
        <v>0</v>
      </c>
      <c r="V116" s="8">
        <f>('June 2024 YTD'!V116*2)*1.03</f>
        <v>0</v>
      </c>
      <c r="W116" s="8">
        <f>('June 2024 YTD'!W116*2)*1.03</f>
        <v>0</v>
      </c>
      <c r="X116" s="8">
        <f>('June 2024 YTD'!X116*2)*1.03</f>
        <v>0</v>
      </c>
      <c r="Y116" s="8">
        <f>('June 2024 YTD'!Y116*2)*1.03</f>
        <v>0</v>
      </c>
      <c r="Z116" s="8">
        <f>('June 2024 YTD'!Z116*2)*1.03</f>
        <v>0</v>
      </c>
      <c r="AA116" s="8">
        <f>('June 2024 YTD'!AA116*2)*1.03</f>
        <v>0</v>
      </c>
      <c r="AB116" s="8">
        <f>('June 2024 YTD'!AB116*2)*1.03</f>
        <v>0</v>
      </c>
      <c r="AC116" s="8">
        <f>('June 2024 YTD'!AC116*2)*1.03</f>
        <v>0</v>
      </c>
      <c r="AD116" s="8">
        <f>('June 2024 YTD'!AD116*2)*1.03</f>
        <v>0</v>
      </c>
      <c r="AE116" s="8">
        <v>0</v>
      </c>
      <c r="AF116" s="8">
        <f>('June 2024 YTD'!AE116*2)*1.03</f>
        <v>0</v>
      </c>
      <c r="AG116" s="8">
        <f>('June 2024 YTD'!AF116*2)*1.03</f>
        <v>0</v>
      </c>
      <c r="AH116" s="8">
        <f>('June 2024 YTD'!AG116*2)*1.03</f>
        <v>0</v>
      </c>
      <c r="AI116" s="8">
        <f>('June 2024 YTD'!AH116*2)*1.03</f>
        <v>0</v>
      </c>
      <c r="AJ116" s="88">
        <f>('June 2024 YTD'!AI116*2)*1.03</f>
        <v>0</v>
      </c>
      <c r="AK116" s="88">
        <f>('June 2024 YTD'!AJ116*2)*1.03</f>
        <v>0</v>
      </c>
      <c r="AL116" s="88">
        <f>('June 2024 YTD'!AK116*2)*1.03</f>
        <v>0</v>
      </c>
      <c r="AM116" s="88">
        <f>('June 2024 YTD'!AL116*2)*1.03</f>
        <v>0</v>
      </c>
      <c r="AN116" s="88">
        <f>('June 2024 YTD'!AM116*2)*1.03</f>
        <v>0</v>
      </c>
      <c r="AO116" s="88">
        <f>('June 2024 YTD'!AN116*2)*1.03</f>
        <v>0</v>
      </c>
      <c r="AP116" s="88">
        <f>('June 2024 YTD'!AO116*2)*1.03</f>
        <v>0</v>
      </c>
      <c r="AQ116" s="8">
        <f>('June 2024 YTD'!AP116*2)*1.03</f>
        <v>0</v>
      </c>
      <c r="AR116" s="8">
        <f>('June 2024 YTD'!AQ116*2)*1.03</f>
        <v>0</v>
      </c>
      <c r="AS116" s="88">
        <f>('June 2024 YTD'!AR116*2)*1.03</f>
        <v>0</v>
      </c>
      <c r="AT116" s="8">
        <f>('June 2024 YTD'!AS116*2)*1.03</f>
        <v>0</v>
      </c>
      <c r="AU116" s="88">
        <f>('June 2024 YTD'!AT116*2)*1.03</f>
        <v>0</v>
      </c>
      <c r="AV116" s="88">
        <f>('June 2024 YTD'!AU116*2)*1.03</f>
        <v>0</v>
      </c>
      <c r="AW116" s="8">
        <f>('June 2024 YTD'!AV116*2)*1.03</f>
        <v>0</v>
      </c>
      <c r="AX116" s="8">
        <f>('June 2024 YTD'!AW116*2)*1.03</f>
        <v>0</v>
      </c>
      <c r="AY116" s="88">
        <f>('June 2024 YTD'!AX116*2)*1.03</f>
        <v>0</v>
      </c>
      <c r="AZ116" s="8">
        <f>('June 2024 YTD'!AY116*2)*1.03</f>
        <v>0</v>
      </c>
      <c r="BA116" s="8">
        <f>('June 2024 YTD'!AZ116*2)*1.03</f>
        <v>0</v>
      </c>
      <c r="BB116" s="8">
        <f>('June 2024 YTD'!BA116*2)*1.03</f>
        <v>0</v>
      </c>
      <c r="BC116" s="88">
        <f>('June 2024 YTD'!BB116*2)*1.03</f>
        <v>0</v>
      </c>
      <c r="BD116" s="88">
        <f>('June 2024 YTD'!BC116*2)*1.03</f>
        <v>0</v>
      </c>
      <c r="BE116" s="88">
        <f>('June 2024 YTD'!BD116*2)*1.03</f>
        <v>0</v>
      </c>
      <c r="BF116" s="88">
        <f>('June 2024 YTD'!BE116*2)*1.03</f>
        <v>0</v>
      </c>
      <c r="BG116" s="8">
        <f>('June 2024 YTD'!BF116*2)*1.03</f>
        <v>0</v>
      </c>
      <c r="BH116" s="8">
        <f>('June 2024 YTD'!BG116*2)*1.03</f>
        <v>0</v>
      </c>
      <c r="BI116" s="8">
        <f>('June 2024 YTD'!BH116*2)*1.03</f>
        <v>0</v>
      </c>
      <c r="BJ116" s="8">
        <f>('June 2024 YTD'!BI116*2)*1.03</f>
        <v>0</v>
      </c>
      <c r="BK116" s="8">
        <f>('June 2024 YTD'!BJ116*2)*1.03</f>
        <v>0</v>
      </c>
      <c r="BL116" s="8">
        <f>('June 2024 YTD'!BK116*2)*1.03</f>
        <v>0</v>
      </c>
      <c r="BM116" s="8">
        <f>('June 2024 YTD'!BL116*2)*1.03</f>
        <v>0</v>
      </c>
      <c r="BN116" s="8">
        <f>('June 2024 YTD'!BM116*2)*1.03</f>
        <v>0</v>
      </c>
      <c r="BO116" s="8">
        <f>('June 2024 YTD'!BN116*2)*1.03</f>
        <v>0</v>
      </c>
      <c r="BP116" s="8">
        <f>('June 2024 YTD'!BO116*2)*1.03</f>
        <v>0</v>
      </c>
      <c r="BQ116" s="8">
        <f>('June 2024 YTD'!BP116*2)*1.03</f>
        <v>0</v>
      </c>
      <c r="BR116" s="8">
        <f>('June 2024 YTD'!BQ116*2)*1.03</f>
        <v>0</v>
      </c>
      <c r="BS116" s="8">
        <f>('June 2024 YTD'!BR116*2)*1.03</f>
        <v>0</v>
      </c>
      <c r="BT116" s="8">
        <f>('June 2024 YTD'!BS116*2)*1.03</f>
        <v>0</v>
      </c>
      <c r="BU116" s="8">
        <f>('June 2024 YTD'!BT116*2)*1.03</f>
        <v>0</v>
      </c>
      <c r="BV116" s="8">
        <f>('June 2024 YTD'!BU116*2)*1.03</f>
        <v>0</v>
      </c>
      <c r="BW116" s="8">
        <f>('June 2024 YTD'!BV116*2)*1.03</f>
        <v>0</v>
      </c>
      <c r="BX116" s="88">
        <f>('June 2024 YTD'!BW116*2)*1.03</f>
        <v>0</v>
      </c>
      <c r="BY116" s="88">
        <f>('June 2024 YTD'!BX116*2)*1.03</f>
        <v>0</v>
      </c>
      <c r="BZ116" s="88">
        <f>('June 2024 YTD'!BY116*2)*1.03</f>
        <v>0</v>
      </c>
      <c r="CA116" s="8">
        <f t="shared" ref="CA116" si="119">SUM(B116:BZ116)</f>
        <v>198.99599999999998</v>
      </c>
      <c r="CB116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16" s="85" t="e">
        <f t="shared" ref="CC116:CC119" si="120">CA116-CB116</f>
        <v>#REF!</v>
      </c>
    </row>
    <row r="117" spans="1:81">
      <c r="A117" s="9" t="s">
        <v>194</v>
      </c>
      <c r="B117" s="10">
        <f t="shared" ref="B117:BN117" si="121">SUM(B116)</f>
        <v>0</v>
      </c>
      <c r="C117" s="10">
        <f t="shared" si="121"/>
        <v>198.99599999999998</v>
      </c>
      <c r="D117" s="10">
        <f t="shared" si="121"/>
        <v>0</v>
      </c>
      <c r="E117" s="10">
        <f t="shared" si="121"/>
        <v>0</v>
      </c>
      <c r="F117" s="10">
        <f t="shared" si="121"/>
        <v>0</v>
      </c>
      <c r="G117" s="10">
        <f t="shared" si="121"/>
        <v>0</v>
      </c>
      <c r="H117" s="10">
        <f t="shared" si="121"/>
        <v>0</v>
      </c>
      <c r="I117" s="10">
        <f t="shared" si="121"/>
        <v>0</v>
      </c>
      <c r="J117" s="10">
        <f t="shared" si="121"/>
        <v>0</v>
      </c>
      <c r="K117" s="10">
        <f t="shared" si="121"/>
        <v>0</v>
      </c>
      <c r="L117" s="10">
        <f t="shared" si="121"/>
        <v>0</v>
      </c>
      <c r="M117" s="10">
        <f t="shared" si="121"/>
        <v>0</v>
      </c>
      <c r="N117" s="10">
        <f t="shared" si="121"/>
        <v>0</v>
      </c>
      <c r="O117" s="10">
        <f t="shared" si="121"/>
        <v>0</v>
      </c>
      <c r="P117" s="10">
        <f t="shared" si="121"/>
        <v>0</v>
      </c>
      <c r="Q117" s="10">
        <f t="shared" si="121"/>
        <v>0</v>
      </c>
      <c r="R117" s="10">
        <f t="shared" si="121"/>
        <v>0</v>
      </c>
      <c r="S117" s="10">
        <f t="shared" si="121"/>
        <v>0</v>
      </c>
      <c r="T117" s="10">
        <f t="shared" si="121"/>
        <v>0</v>
      </c>
      <c r="U117" s="10">
        <f t="shared" si="121"/>
        <v>0</v>
      </c>
      <c r="V117" s="10">
        <f t="shared" si="121"/>
        <v>0</v>
      </c>
      <c r="W117" s="10">
        <f t="shared" si="121"/>
        <v>0</v>
      </c>
      <c r="X117" s="10">
        <f t="shared" si="121"/>
        <v>0</v>
      </c>
      <c r="Y117" s="10">
        <f t="shared" si="121"/>
        <v>0</v>
      </c>
      <c r="Z117" s="10">
        <f t="shared" si="121"/>
        <v>0</v>
      </c>
      <c r="AA117" s="10">
        <f t="shared" si="121"/>
        <v>0</v>
      </c>
      <c r="AB117" s="10">
        <f t="shared" si="121"/>
        <v>0</v>
      </c>
      <c r="AC117" s="10">
        <f t="shared" si="121"/>
        <v>0</v>
      </c>
      <c r="AD117" s="10">
        <f t="shared" si="121"/>
        <v>0</v>
      </c>
      <c r="AE117" s="10">
        <f t="shared" ref="AE117" si="122">SUM(AE116)</f>
        <v>0</v>
      </c>
      <c r="AF117" s="10">
        <f t="shared" si="121"/>
        <v>0</v>
      </c>
      <c r="AG117" s="10">
        <f t="shared" si="121"/>
        <v>0</v>
      </c>
      <c r="AH117" s="10">
        <f t="shared" si="121"/>
        <v>0</v>
      </c>
      <c r="AI117" s="10">
        <f t="shared" si="121"/>
        <v>0</v>
      </c>
      <c r="AJ117" s="89">
        <f t="shared" si="121"/>
        <v>0</v>
      </c>
      <c r="AK117" s="89">
        <f t="shared" si="121"/>
        <v>0</v>
      </c>
      <c r="AL117" s="89">
        <f t="shared" si="121"/>
        <v>0</v>
      </c>
      <c r="AM117" s="89">
        <f t="shared" si="121"/>
        <v>0</v>
      </c>
      <c r="AN117" s="89">
        <f t="shared" si="121"/>
        <v>0</v>
      </c>
      <c r="AO117" s="89">
        <f t="shared" si="121"/>
        <v>0</v>
      </c>
      <c r="AP117" s="89">
        <f t="shared" si="121"/>
        <v>0</v>
      </c>
      <c r="AQ117" s="10">
        <f t="shared" si="121"/>
        <v>0</v>
      </c>
      <c r="AR117" s="10">
        <f t="shared" si="121"/>
        <v>0</v>
      </c>
      <c r="AS117" s="89">
        <f t="shared" si="121"/>
        <v>0</v>
      </c>
      <c r="AT117" s="10">
        <f t="shared" si="121"/>
        <v>0</v>
      </c>
      <c r="AU117" s="89">
        <f t="shared" si="121"/>
        <v>0</v>
      </c>
      <c r="AV117" s="89">
        <f t="shared" si="121"/>
        <v>0</v>
      </c>
      <c r="AW117" s="10">
        <f t="shared" si="121"/>
        <v>0</v>
      </c>
      <c r="AX117" s="10">
        <f t="shared" si="121"/>
        <v>0</v>
      </c>
      <c r="AY117" s="89">
        <f t="shared" si="121"/>
        <v>0</v>
      </c>
      <c r="AZ117" s="10">
        <f t="shared" si="121"/>
        <v>0</v>
      </c>
      <c r="BA117" s="10">
        <f t="shared" si="121"/>
        <v>0</v>
      </c>
      <c r="BB117" s="10">
        <f t="shared" si="121"/>
        <v>0</v>
      </c>
      <c r="BC117" s="89">
        <f t="shared" si="121"/>
        <v>0</v>
      </c>
      <c r="BD117" s="89">
        <f t="shared" si="121"/>
        <v>0</v>
      </c>
      <c r="BE117" s="89">
        <f t="shared" si="121"/>
        <v>0</v>
      </c>
      <c r="BF117" s="89">
        <f t="shared" si="121"/>
        <v>0</v>
      </c>
      <c r="BG117" s="10">
        <f t="shared" si="121"/>
        <v>0</v>
      </c>
      <c r="BH117" s="10">
        <f t="shared" si="121"/>
        <v>0</v>
      </c>
      <c r="BI117" s="10">
        <f t="shared" si="121"/>
        <v>0</v>
      </c>
      <c r="BJ117" s="10">
        <f t="shared" si="121"/>
        <v>0</v>
      </c>
      <c r="BK117" s="10">
        <f t="shared" si="121"/>
        <v>0</v>
      </c>
      <c r="BL117" s="10">
        <f t="shared" si="121"/>
        <v>0</v>
      </c>
      <c r="BM117" s="10">
        <f t="shared" si="121"/>
        <v>0</v>
      </c>
      <c r="BN117" s="10">
        <f t="shared" si="121"/>
        <v>0</v>
      </c>
      <c r="BO117" s="10">
        <f t="shared" ref="BO117:CB117" si="123">SUM(BO116)</f>
        <v>0</v>
      </c>
      <c r="BP117" s="10">
        <f t="shared" si="123"/>
        <v>0</v>
      </c>
      <c r="BQ117" s="10">
        <f t="shared" si="123"/>
        <v>0</v>
      </c>
      <c r="BR117" s="10">
        <f t="shared" si="123"/>
        <v>0</v>
      </c>
      <c r="BS117" s="10">
        <f t="shared" si="123"/>
        <v>0</v>
      </c>
      <c r="BT117" s="10">
        <f t="shared" si="123"/>
        <v>0</v>
      </c>
      <c r="BU117" s="10">
        <f t="shared" si="123"/>
        <v>0</v>
      </c>
      <c r="BV117" s="10">
        <f t="shared" si="123"/>
        <v>0</v>
      </c>
      <c r="BW117" s="10">
        <f t="shared" si="123"/>
        <v>0</v>
      </c>
      <c r="BX117" s="89">
        <f t="shared" si="123"/>
        <v>0</v>
      </c>
      <c r="BY117" s="89">
        <f t="shared" si="123"/>
        <v>0</v>
      </c>
      <c r="BZ117" s="89">
        <f t="shared" si="123"/>
        <v>0</v>
      </c>
      <c r="CA117" s="10">
        <f t="shared" si="123"/>
        <v>198.99599999999998</v>
      </c>
      <c r="CB117" s="10" t="e">
        <f t="shared" si="123"/>
        <v>#REF!</v>
      </c>
      <c r="CC117" s="85" t="e">
        <f t="shared" si="120"/>
        <v>#REF!</v>
      </c>
    </row>
    <row r="118" spans="1:81">
      <c r="A118" s="22" t="s">
        <v>195</v>
      </c>
      <c r="B118" s="8">
        <v>0</v>
      </c>
      <c r="C118" s="8">
        <f>('June 2024 YTD'!C118*2)*1.03</f>
        <v>12768.333200000001</v>
      </c>
      <c r="D118" s="8">
        <f>('June 2024 YTD'!D118*2)*1.03</f>
        <v>370.8</v>
      </c>
      <c r="E118" s="8">
        <f>('June 2024 YTD'!E118*2)*1.03</f>
        <v>0</v>
      </c>
      <c r="F118" s="8">
        <f>('June 2024 YTD'!F118*2)*1.03</f>
        <v>0</v>
      </c>
      <c r="G118" s="8">
        <f>('June 2024 YTD'!G118*2)*1.03</f>
        <v>370.8</v>
      </c>
      <c r="H118" s="8">
        <f>('June 2024 YTD'!H118*2)*1.03</f>
        <v>0</v>
      </c>
      <c r="I118" s="8">
        <f>('June 2024 YTD'!I118*2)*1.03</f>
        <v>0</v>
      </c>
      <c r="J118" s="8">
        <f>('June 2024 YTD'!J118*2)*1.03</f>
        <v>0</v>
      </c>
      <c r="K118" s="8">
        <f>('June 2024 YTD'!K118*2)*1.03</f>
        <v>0</v>
      </c>
      <c r="L118" s="8">
        <f>('June 2024 YTD'!L118*2)*1.03</f>
        <v>0</v>
      </c>
      <c r="M118" s="8">
        <f>('June 2024 YTD'!M118*2)*1.03</f>
        <v>0</v>
      </c>
      <c r="N118" s="8">
        <f>('June 2024 YTD'!N118*2)*1.03</f>
        <v>370.8</v>
      </c>
      <c r="O118" s="8">
        <f>('June 2024 YTD'!O118*2)*1.03</f>
        <v>0</v>
      </c>
      <c r="P118" s="8">
        <f>('June 2024 YTD'!P118*2)*1.03</f>
        <v>0</v>
      </c>
      <c r="Q118" s="8">
        <f>('June 2024 YTD'!Q118*2)*1.03</f>
        <v>0</v>
      </c>
      <c r="R118" s="8">
        <f>('June 2024 YTD'!R118*2)*1.03</f>
        <v>0</v>
      </c>
      <c r="S118" s="8">
        <f>('June 2024 YTD'!S118*2)*1.03</f>
        <v>0</v>
      </c>
      <c r="T118" s="8">
        <f>('June 2024 YTD'!T118*2)*1.03</f>
        <v>0</v>
      </c>
      <c r="U118" s="8">
        <f>('June 2024 YTD'!U118*2)*1.03</f>
        <v>0</v>
      </c>
      <c r="V118" s="8">
        <f>('June 2024 YTD'!V118*2)*1.03</f>
        <v>0</v>
      </c>
      <c r="W118" s="8">
        <f>('June 2024 YTD'!W118*2)*1.03</f>
        <v>0</v>
      </c>
      <c r="X118" s="8">
        <f>('June 2024 YTD'!X118*2)*1.03</f>
        <v>138.02000000000001</v>
      </c>
      <c r="Y118" s="8">
        <f>('June 2024 YTD'!Y118*2)*1.03</f>
        <v>0</v>
      </c>
      <c r="Z118" s="8">
        <f>('June 2024 YTD'!Z118*2)*1.03</f>
        <v>0</v>
      </c>
      <c r="AA118" s="8">
        <f>('June 2024 YTD'!AA118*2)*1.03</f>
        <v>0</v>
      </c>
      <c r="AB118" s="8">
        <f>('June 2024 YTD'!AB118*2)*1.03</f>
        <v>2914.9</v>
      </c>
      <c r="AC118" s="8">
        <f>('June 2024 YTD'!AC118*2)*1.03</f>
        <v>0</v>
      </c>
      <c r="AD118" s="8">
        <f>('June 2024 YTD'!AD118*2)*1.03</f>
        <v>0</v>
      </c>
      <c r="AE118" s="8">
        <v>0</v>
      </c>
      <c r="AF118" s="8">
        <f>('June 2024 YTD'!AE118*2)*1.03</f>
        <v>0</v>
      </c>
      <c r="AG118" s="8">
        <f>('June 2024 YTD'!AF118*2)*1.03</f>
        <v>0</v>
      </c>
      <c r="AH118" s="8">
        <f>('June 2024 YTD'!AG118*2)*1.03</f>
        <v>0</v>
      </c>
      <c r="AI118" s="8">
        <f>('June 2024 YTD'!AH118*2)*1.03</f>
        <v>0</v>
      </c>
      <c r="AJ118" s="88">
        <f>('June 2024 YTD'!AI118*2)*1.03</f>
        <v>0</v>
      </c>
      <c r="AK118" s="88">
        <f>('June 2024 YTD'!AJ118*2)*1.03</f>
        <v>0</v>
      </c>
      <c r="AL118" s="88">
        <f>('June 2024 YTD'!AK118*2)*1.03</f>
        <v>0</v>
      </c>
      <c r="AM118" s="88">
        <f>('June 2024 YTD'!AL118*2)*1.03</f>
        <v>0</v>
      </c>
      <c r="AN118" s="88">
        <f>('June 2024 YTD'!AM118*2)*1.03</f>
        <v>0</v>
      </c>
      <c r="AO118" s="88">
        <f>('June 2024 YTD'!AN118*2)*1.03</f>
        <v>0</v>
      </c>
      <c r="AP118" s="88">
        <f>('June 2024 YTD'!AO118*2)*1.03</f>
        <v>0</v>
      </c>
      <c r="AQ118" s="8">
        <f>('June 2024 YTD'!AP118*2)*1.03</f>
        <v>0</v>
      </c>
      <c r="AR118" s="8">
        <f>('June 2024 YTD'!AQ118*2)*1.03</f>
        <v>0</v>
      </c>
      <c r="AS118" s="88">
        <f>('June 2024 YTD'!AR118*2)*1.03</f>
        <v>0</v>
      </c>
      <c r="AT118" s="8">
        <f>('June 2024 YTD'!AS118*2)*1.03</f>
        <v>0</v>
      </c>
      <c r="AU118" s="88">
        <f>('June 2024 YTD'!AT118*2)*1.03</f>
        <v>0</v>
      </c>
      <c r="AV118" s="88">
        <f>('June 2024 YTD'!AU118*2)*1.03</f>
        <v>0</v>
      </c>
      <c r="AW118" s="8">
        <f>('June 2024 YTD'!AV118*2)*1.03</f>
        <v>0</v>
      </c>
      <c r="AX118" s="8">
        <f>('June 2024 YTD'!AW118*2)*1.03</f>
        <v>0</v>
      </c>
      <c r="AY118" s="88">
        <f>('June 2024 YTD'!AX118*2)*1.03</f>
        <v>0</v>
      </c>
      <c r="AZ118" s="8">
        <f>('June 2024 YTD'!AY118*2)*1.03</f>
        <v>0</v>
      </c>
      <c r="BA118" s="8">
        <f>('June 2024 YTD'!AZ118*2)*1.03</f>
        <v>0</v>
      </c>
      <c r="BB118" s="8">
        <f>('June 2024 YTD'!BA118*2)*1.03</f>
        <v>0</v>
      </c>
      <c r="BC118" s="88">
        <f>('June 2024 YTD'!BB118*2)*1.03</f>
        <v>0</v>
      </c>
      <c r="BD118" s="88">
        <f>('June 2024 YTD'!BC118*2)*1.03</f>
        <v>0</v>
      </c>
      <c r="BE118" s="88">
        <f>('June 2024 YTD'!BD118*2)*1.03</f>
        <v>0</v>
      </c>
      <c r="BF118" s="88">
        <f>('June 2024 YTD'!BE118*2)*1.03</f>
        <v>0</v>
      </c>
      <c r="BG118" s="8">
        <f>('June 2024 YTD'!BF118*2)*1.03</f>
        <v>0</v>
      </c>
      <c r="BH118" s="8">
        <f>('June 2024 YTD'!BG118*2)*1.03</f>
        <v>0</v>
      </c>
      <c r="BI118" s="8">
        <f>('June 2024 YTD'!BH118*2)*1.03</f>
        <v>0</v>
      </c>
      <c r="BJ118" s="8">
        <f>('June 2024 YTD'!BI118*2)*1.03</f>
        <v>0</v>
      </c>
      <c r="BK118" s="8">
        <f>('June 2024 YTD'!BJ118*2)*1.03</f>
        <v>0</v>
      </c>
      <c r="BL118" s="8">
        <f>('June 2024 YTD'!BK118*2)*1.03</f>
        <v>0</v>
      </c>
      <c r="BM118" s="8">
        <f>('June 2024 YTD'!BL118*2)*1.03</f>
        <v>0</v>
      </c>
      <c r="BN118" s="8">
        <f>('June 2024 YTD'!BM118*2)*1.03</f>
        <v>0</v>
      </c>
      <c r="BO118" s="8">
        <f>('June 2024 YTD'!BN118*2)*1.03</f>
        <v>0</v>
      </c>
      <c r="BP118" s="8">
        <f>('June 2024 YTD'!BO118*2)*1.03</f>
        <v>0</v>
      </c>
      <c r="BQ118" s="8">
        <f>('June 2024 YTD'!BP118*2)*1.03</f>
        <v>0</v>
      </c>
      <c r="BR118" s="8">
        <f>('June 2024 YTD'!BQ118*2)*1.03</f>
        <v>0</v>
      </c>
      <c r="BS118" s="8">
        <f>('June 2024 YTD'!BR118*2)*1.03</f>
        <v>0</v>
      </c>
      <c r="BT118" s="8">
        <f>('June 2024 YTD'!BS118*2)*1.03</f>
        <v>0</v>
      </c>
      <c r="BU118" s="8">
        <f>('June 2024 YTD'!BT118*2)*1.03</f>
        <v>0</v>
      </c>
      <c r="BV118" s="8">
        <f>('June 2024 YTD'!BU118*2)*1.03</f>
        <v>0</v>
      </c>
      <c r="BW118" s="8">
        <f>('June 2024 YTD'!BV118*2)*1.03</f>
        <v>0</v>
      </c>
      <c r="BX118" s="88">
        <f>('June 2024 YTD'!BW118*2)*1.03</f>
        <v>0</v>
      </c>
      <c r="BY118" s="88">
        <f>('June 2024 YTD'!BX118*2)*1.03</f>
        <v>0</v>
      </c>
      <c r="BZ118" s="88">
        <f>('June 2024 YTD'!BY118*2)*1.03</f>
        <v>0</v>
      </c>
      <c r="CA118" s="8">
        <f t="shared" ref="CA118:CA119" si="124">SUM(B118:BZ118)</f>
        <v>16933.653200000001</v>
      </c>
      <c r="CB118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18" s="85" t="e">
        <f t="shared" si="120"/>
        <v>#REF!</v>
      </c>
    </row>
    <row r="119" spans="1:81">
      <c r="A119" s="22" t="s">
        <v>196</v>
      </c>
      <c r="B119" s="8">
        <v>0</v>
      </c>
      <c r="C119" s="8">
        <f>'June 2024 YTD'!C119*2</f>
        <v>0</v>
      </c>
      <c r="D119" s="8">
        <f>'June 2024 YTD'!D119*2</f>
        <v>0</v>
      </c>
      <c r="E119" s="8">
        <f>'June 2024 YTD'!E119*2</f>
        <v>0</v>
      </c>
      <c r="F119" s="8">
        <f>'June 2024 YTD'!F119*2</f>
        <v>0</v>
      </c>
      <c r="G119" s="8">
        <f>'June 2024 YTD'!G119*2</f>
        <v>0</v>
      </c>
      <c r="H119" s="8">
        <f>'June 2024 YTD'!H119*2</f>
        <v>0</v>
      </c>
      <c r="I119" s="8">
        <f>'June 2024 YTD'!I119*2</f>
        <v>0</v>
      </c>
      <c r="J119" s="8">
        <f>'June 2024 YTD'!J119*2</f>
        <v>0</v>
      </c>
      <c r="K119" s="8">
        <f>'June 2024 YTD'!K119*2</f>
        <v>0</v>
      </c>
      <c r="L119" s="8">
        <f>'June 2024 YTD'!L119*2</f>
        <v>0</v>
      </c>
      <c r="M119" s="8">
        <f>'June 2024 YTD'!M119*2</f>
        <v>0</v>
      </c>
      <c r="N119" s="8">
        <f>'June 2024 YTD'!N119*2</f>
        <v>0</v>
      </c>
      <c r="O119" s="8">
        <f>'June 2024 YTD'!O119*2</f>
        <v>0</v>
      </c>
      <c r="P119" s="8">
        <f>'June 2024 YTD'!P119*2</f>
        <v>0</v>
      </c>
      <c r="Q119" s="8">
        <f>'June 2024 YTD'!Q119*2</f>
        <v>0</v>
      </c>
      <c r="R119" s="8">
        <f>'June 2024 YTD'!R119*2</f>
        <v>0</v>
      </c>
      <c r="S119" s="8">
        <f>'June 2024 YTD'!S119*2</f>
        <v>0</v>
      </c>
      <c r="T119" s="8">
        <f>'June 2024 YTD'!T119*2</f>
        <v>0</v>
      </c>
      <c r="U119" s="8">
        <f>'June 2024 YTD'!U119*2</f>
        <v>0</v>
      </c>
      <c r="V119" s="8">
        <f>'June 2024 YTD'!V119*2</f>
        <v>0</v>
      </c>
      <c r="W119" s="8">
        <f>'June 2024 YTD'!W119*2</f>
        <v>0</v>
      </c>
      <c r="X119" s="8">
        <f>'June 2024 YTD'!X119*2</f>
        <v>0</v>
      </c>
      <c r="Y119" s="8">
        <f>'June 2024 YTD'!Y119*2</f>
        <v>0</v>
      </c>
      <c r="Z119" s="8">
        <f>'June 2024 YTD'!Z119*2</f>
        <v>0</v>
      </c>
      <c r="AA119" s="8">
        <f>'June 2024 YTD'!AA119*2</f>
        <v>0</v>
      </c>
      <c r="AB119" s="8">
        <f>'June 2024 YTD'!AB119*2</f>
        <v>0</v>
      </c>
      <c r="AC119" s="8">
        <f>'June 2024 YTD'!AC119*2</f>
        <v>0</v>
      </c>
      <c r="AD119" s="8">
        <f>'June 2024 YTD'!AD119*2</f>
        <v>0</v>
      </c>
      <c r="AE119" s="8">
        <v>0</v>
      </c>
      <c r="AF119" s="8">
        <f>'June 2024 YTD'!AE119*2</f>
        <v>0</v>
      </c>
      <c r="AG119" s="8">
        <f>'June 2024 YTD'!AF119*2</f>
        <v>0</v>
      </c>
      <c r="AH119" s="8">
        <f>'June 2024 YTD'!AG119*2</f>
        <v>0</v>
      </c>
      <c r="AI119" s="8">
        <v>0</v>
      </c>
      <c r="AJ119" s="88">
        <v>0</v>
      </c>
      <c r="AK119" s="88">
        <v>0</v>
      </c>
      <c r="AL119" s="88">
        <v>0</v>
      </c>
      <c r="AM119" s="88">
        <v>0</v>
      </c>
      <c r="AN119" s="88">
        <v>0</v>
      </c>
      <c r="AO119" s="88">
        <v>0</v>
      </c>
      <c r="AP119" s="88">
        <v>0</v>
      </c>
      <c r="AQ119" s="8">
        <f>'June 2024 YTD'!AP119*2</f>
        <v>0</v>
      </c>
      <c r="AR119" s="8">
        <f>'June 2024 YTD'!AQ119*2</f>
        <v>0</v>
      </c>
      <c r="AS119" s="88">
        <v>0</v>
      </c>
      <c r="AT119" s="8">
        <f>'June 2024 YTD'!AS119*2</f>
        <v>0</v>
      </c>
      <c r="AU119" s="88">
        <v>0</v>
      </c>
      <c r="AV119" s="88">
        <v>0</v>
      </c>
      <c r="AW119" s="8">
        <f>'June 2024 YTD'!AV119*2</f>
        <v>0</v>
      </c>
      <c r="AX119" s="8">
        <f>'June 2024 YTD'!AW119*2</f>
        <v>0</v>
      </c>
      <c r="AY119" s="88">
        <v>0</v>
      </c>
      <c r="AZ119" s="8">
        <f>'June 2024 YTD'!AY119*2</f>
        <v>0</v>
      </c>
      <c r="BA119" s="8">
        <f>'June 2024 YTD'!AZ119*2</f>
        <v>0</v>
      </c>
      <c r="BB119" s="93">
        <f>6659.86</f>
        <v>6659.86</v>
      </c>
      <c r="BC119" s="88">
        <v>0</v>
      </c>
      <c r="BD119" s="88">
        <v>0</v>
      </c>
      <c r="BE119" s="88">
        <v>0</v>
      </c>
      <c r="BF119" s="88">
        <v>0</v>
      </c>
      <c r="BG119" s="8">
        <f>'June 2024 YTD'!BF119*2</f>
        <v>0</v>
      </c>
      <c r="BH119" s="8">
        <f>'June 2024 YTD'!BG119*2</f>
        <v>0</v>
      </c>
      <c r="BI119" s="8">
        <f>'June 2024 YTD'!BH119*2</f>
        <v>0</v>
      </c>
      <c r="BJ119" s="8">
        <f>'June 2024 YTD'!BI119*2</f>
        <v>0</v>
      </c>
      <c r="BK119" s="8">
        <f>'June 2024 YTD'!BJ119*2</f>
        <v>0</v>
      </c>
      <c r="BL119" s="8">
        <f>'June 2024 YTD'!BK119*2</f>
        <v>0</v>
      </c>
      <c r="BM119" s="8">
        <f>'June 2024 YTD'!BL119*2</f>
        <v>0</v>
      </c>
      <c r="BN119" s="8">
        <f>'June 2024 YTD'!BM119*2</f>
        <v>0</v>
      </c>
      <c r="BO119" s="8">
        <f>'June 2024 YTD'!BN119*2</f>
        <v>0</v>
      </c>
      <c r="BP119" s="8">
        <f>'June 2024 YTD'!BO119*2</f>
        <v>0</v>
      </c>
      <c r="BQ119" s="8">
        <f>'June 2024 YTD'!BP119*2</f>
        <v>0</v>
      </c>
      <c r="BR119" s="8">
        <f>'June 2024 YTD'!BQ119*2</f>
        <v>0</v>
      </c>
      <c r="BS119" s="8">
        <f>'June 2024 YTD'!BR119*2</f>
        <v>0</v>
      </c>
      <c r="BT119" s="8">
        <f>'June 2024 YTD'!BS119*2</f>
        <v>0</v>
      </c>
      <c r="BU119" s="8">
        <f>'June 2024 YTD'!BT119*2</f>
        <v>0</v>
      </c>
      <c r="BV119" s="8">
        <f>'June 2024 YTD'!BU119*2</f>
        <v>0</v>
      </c>
      <c r="BW119" s="8">
        <f>'June 2024 YTD'!BV119*2</f>
        <v>0</v>
      </c>
      <c r="BX119" s="88">
        <v>0</v>
      </c>
      <c r="BY119" s="88">
        <v>0</v>
      </c>
      <c r="BZ119" s="88">
        <v>0</v>
      </c>
      <c r="CA119" s="8">
        <f t="shared" si="124"/>
        <v>6659.86</v>
      </c>
      <c r="CB119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19" s="85" t="e">
        <f t="shared" si="120"/>
        <v>#REF!</v>
      </c>
    </row>
    <row r="120" spans="1:81">
      <c r="A120" s="6" t="s">
        <v>197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87"/>
      <c r="AK120" s="87"/>
      <c r="AL120" s="87"/>
      <c r="AM120" s="87"/>
      <c r="AN120" s="87"/>
      <c r="AO120" s="87"/>
      <c r="AP120" s="87"/>
      <c r="AQ120" s="4"/>
      <c r="AR120" s="4"/>
      <c r="AS120" s="87"/>
      <c r="AT120" s="4"/>
      <c r="AU120" s="88"/>
      <c r="AV120" s="88"/>
      <c r="AW120" s="4"/>
      <c r="AX120" s="4"/>
      <c r="AY120" s="88"/>
      <c r="AZ120" s="4"/>
      <c r="BA120" s="4"/>
      <c r="BB120" s="4"/>
      <c r="BC120" s="88"/>
      <c r="BD120" s="88"/>
      <c r="BE120" s="88"/>
      <c r="BF120" s="88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88"/>
      <c r="BY120" s="88"/>
      <c r="BZ120" s="88"/>
      <c r="CA120" s="4"/>
      <c r="CC120" s="85"/>
    </row>
    <row r="121" spans="1:81">
      <c r="A121" s="78" t="s">
        <v>198</v>
      </c>
      <c r="B121" s="8">
        <v>0</v>
      </c>
      <c r="C121" s="8">
        <f>('June 2024 YTD'!C121*2)*1.03</f>
        <v>1512.6992000000002</v>
      </c>
      <c r="D121" s="8">
        <f>('June 2024 YTD'!D121*2)*1.03</f>
        <v>207.7304</v>
      </c>
      <c r="E121" s="8">
        <f>('June 2024 YTD'!E121*2)*1.03</f>
        <v>72.450200000000009</v>
      </c>
      <c r="F121" s="8">
        <f>('June 2024 YTD'!F121*2)*1.03</f>
        <v>0</v>
      </c>
      <c r="G121" s="8">
        <f>('June 2024 YTD'!G121*2)*1.03</f>
        <v>287.08160000000004</v>
      </c>
      <c r="H121" s="8">
        <f>('June 2024 YTD'!H121*2)*1.03</f>
        <v>72.264799999999994</v>
      </c>
      <c r="I121" s="8">
        <f>('June 2024 YTD'!I121*2)*1.03</f>
        <v>0</v>
      </c>
      <c r="J121" s="8">
        <f>('June 2024 YTD'!J121*2)*1.03</f>
        <v>692.07759999999996</v>
      </c>
      <c r="K121" s="8">
        <f>('June 2024 YTD'!K121*2)*1.03</f>
        <v>0</v>
      </c>
      <c r="L121" s="8">
        <f>('June 2024 YTD'!L121*2)*1.03</f>
        <v>72.264799999999994</v>
      </c>
      <c r="M121" s="8">
        <f>('June 2024 YTD'!M121*2)*1.03</f>
        <v>0</v>
      </c>
      <c r="N121" s="8">
        <f>('June 2024 YTD'!N121*2)*1.03</f>
        <v>206</v>
      </c>
      <c r="O121" s="8">
        <f>('June 2024 YTD'!O121*2)*1.03</f>
        <v>456.702</v>
      </c>
      <c r="P121" s="8">
        <f>('June 2024 YTD'!P121*2)*1.03</f>
        <v>0</v>
      </c>
      <c r="Q121" s="8">
        <f>('June 2024 YTD'!Q121*2)*1.03</f>
        <v>0</v>
      </c>
      <c r="R121" s="8">
        <f>('June 2024 YTD'!R121*2)*1.03</f>
        <v>0</v>
      </c>
      <c r="S121" s="8">
        <f>('June 2024 YTD'!S121*2)*1.03</f>
        <v>0</v>
      </c>
      <c r="T121" s="8">
        <f>('June 2024 YTD'!T121*2)*1.03</f>
        <v>0</v>
      </c>
      <c r="U121" s="8">
        <f>('June 2024 YTD'!U121*2)*1.03</f>
        <v>48.039200000000001</v>
      </c>
      <c r="V121" s="8">
        <f>('June 2024 YTD'!V121*2)*1.03</f>
        <v>0</v>
      </c>
      <c r="W121" s="8">
        <f>('June 2024 YTD'!W121*2)*1.03</f>
        <v>0</v>
      </c>
      <c r="X121" s="8">
        <f>('June 2024 YTD'!X121*2)*1.03</f>
        <v>0</v>
      </c>
      <c r="Y121" s="8">
        <f>('June 2024 YTD'!Y121*2)*1.03</f>
        <v>0</v>
      </c>
      <c r="Z121" s="8">
        <f>('June 2024 YTD'!Z121*2)*1.03</f>
        <v>79.268799999999999</v>
      </c>
      <c r="AA121" s="8">
        <f>('June 2024 YTD'!AA121*2)*1.03</f>
        <v>0</v>
      </c>
      <c r="AB121" s="8">
        <f>('June 2024 YTD'!AB121*2)*1.03</f>
        <v>0</v>
      </c>
      <c r="AC121" s="8">
        <f>('June 2024 YTD'!AC121*2)*1.03</f>
        <v>0</v>
      </c>
      <c r="AD121" s="8">
        <f>('June 2024 YTD'!AD121*2)*1.03</f>
        <v>0</v>
      </c>
      <c r="AE121" s="8">
        <v>0</v>
      </c>
      <c r="AF121" s="8">
        <f>('June 2024 YTD'!AE121*2)*1.03</f>
        <v>0</v>
      </c>
      <c r="AG121" s="8">
        <f>('June 2024 YTD'!AF121*2)*1.03</f>
        <v>72.264799999999994</v>
      </c>
      <c r="AH121" s="8">
        <f>('June 2024 YTD'!AG121*2)*1.03</f>
        <v>0</v>
      </c>
      <c r="AI121" s="8">
        <f>('June 2024 YTD'!AH121*2)*1.03</f>
        <v>0</v>
      </c>
      <c r="AJ121" s="88">
        <f>('June 2024 YTD'!AI121*2)*1.03</f>
        <v>0</v>
      </c>
      <c r="AK121" s="88">
        <f>('June 2024 YTD'!AJ121*2)*1.03</f>
        <v>0</v>
      </c>
      <c r="AL121" s="88">
        <f>('June 2024 YTD'!AK121*2)*1.03</f>
        <v>0</v>
      </c>
      <c r="AM121" s="88">
        <f>('June 2024 YTD'!AL121*2)*1.03</f>
        <v>0</v>
      </c>
      <c r="AN121" s="88">
        <f>('June 2024 YTD'!AM121*2)*1.03</f>
        <v>0</v>
      </c>
      <c r="AO121" s="88">
        <f>('June 2024 YTD'!AN121*2)*1.03</f>
        <v>0</v>
      </c>
      <c r="AP121" s="88">
        <f>('June 2024 YTD'!AO121*2)*1.03</f>
        <v>0</v>
      </c>
      <c r="AQ121" s="8">
        <f>('June 2024 YTD'!AP121*2)*1.03</f>
        <v>0</v>
      </c>
      <c r="AR121" s="8">
        <f>('June 2024 YTD'!AQ121*2)*1.03</f>
        <v>0</v>
      </c>
      <c r="AS121" s="88">
        <f>('June 2024 YTD'!AR121*2)*1.03</f>
        <v>0</v>
      </c>
      <c r="AT121" s="8">
        <f>('June 2024 YTD'!AS121*2)*1.03</f>
        <v>0</v>
      </c>
      <c r="AU121" s="88">
        <f>('June 2024 YTD'!AT121*2)*1.03</f>
        <v>0</v>
      </c>
      <c r="AV121" s="88">
        <f>('June 2024 YTD'!AU121*2)*1.03</f>
        <v>0</v>
      </c>
      <c r="AW121" s="8">
        <f>('June 2024 YTD'!AV121*2)*1.03</f>
        <v>0</v>
      </c>
      <c r="AX121" s="8">
        <f>('June 2024 YTD'!AW121*2)*1.03</f>
        <v>0</v>
      </c>
      <c r="AY121" s="88">
        <f>('June 2024 YTD'!AX121*2)*1.03</f>
        <v>0</v>
      </c>
      <c r="AZ121" s="8">
        <f>('June 2024 YTD'!AY121*2)*1.03</f>
        <v>0</v>
      </c>
      <c r="BA121" s="8">
        <f>('June 2024 YTD'!AZ121*2)*1.03</f>
        <v>0</v>
      </c>
      <c r="BB121" s="8">
        <f>('June 2024 YTD'!BA121*2)*1.03</f>
        <v>0</v>
      </c>
      <c r="BC121" s="88">
        <f>('June 2024 YTD'!BB121*2)*1.03</f>
        <v>0</v>
      </c>
      <c r="BD121" s="88">
        <f>('June 2024 YTD'!BC121*2)*1.03</f>
        <v>0</v>
      </c>
      <c r="BE121" s="88">
        <f>('June 2024 YTD'!BD121*2)*1.03</f>
        <v>0</v>
      </c>
      <c r="BF121" s="88">
        <f>('June 2024 YTD'!BE121*2)*1.03</f>
        <v>0</v>
      </c>
      <c r="BG121" s="8">
        <f>('June 2024 YTD'!BF121*2)*1.03</f>
        <v>0</v>
      </c>
      <c r="BH121" s="8">
        <f>('June 2024 YTD'!BG121*2)*1.03</f>
        <v>0</v>
      </c>
      <c r="BI121" s="8">
        <f>('June 2024 YTD'!BH121*2)*1.03</f>
        <v>0</v>
      </c>
      <c r="BJ121" s="8">
        <f>('June 2024 YTD'!BI121*2)*1.03</f>
        <v>0</v>
      </c>
      <c r="BK121" s="8">
        <f>('June 2024 YTD'!BJ121*2)*1.03</f>
        <v>0</v>
      </c>
      <c r="BL121" s="8">
        <f>('June 2024 YTD'!BK121*2)*1.03</f>
        <v>0</v>
      </c>
      <c r="BM121" s="8">
        <f>('June 2024 YTD'!BL121*2)*1.03</f>
        <v>0</v>
      </c>
      <c r="BN121" s="8">
        <f>('June 2024 YTD'!BM121*2)*1.03</f>
        <v>0</v>
      </c>
      <c r="BO121" s="8">
        <f>('June 2024 YTD'!BN121*2)*1.03</f>
        <v>0</v>
      </c>
      <c r="BP121" s="8">
        <f>('June 2024 YTD'!BO121*2)*1.03</f>
        <v>0</v>
      </c>
      <c r="BQ121" s="8">
        <f>('June 2024 YTD'!BP121*2)*1.03</f>
        <v>0</v>
      </c>
      <c r="BR121" s="8">
        <f>('June 2024 YTD'!BQ121*2)*1.03</f>
        <v>0</v>
      </c>
      <c r="BS121" s="8">
        <f>('June 2024 YTD'!BR121*2)*1.03</f>
        <v>0</v>
      </c>
      <c r="BT121" s="8">
        <f>('June 2024 YTD'!BS121*2)*1.03</f>
        <v>0</v>
      </c>
      <c r="BU121" s="8">
        <f>('June 2024 YTD'!BT121*2)*1.03</f>
        <v>0</v>
      </c>
      <c r="BV121" s="8">
        <f>('June 2024 YTD'!BU121*2)*1.03</f>
        <v>0</v>
      </c>
      <c r="BW121" s="8">
        <f>('June 2024 YTD'!BV121*2)*1.03</f>
        <v>0</v>
      </c>
      <c r="BX121" s="88">
        <f>('June 2024 YTD'!BW121*2)*1.03</f>
        <v>0</v>
      </c>
      <c r="BY121" s="88">
        <f>('June 2024 YTD'!BX121*2)*1.03</f>
        <v>0</v>
      </c>
      <c r="BZ121" s="88">
        <f>('June 2024 YTD'!BY121*2)*1.03</f>
        <v>0</v>
      </c>
      <c r="CA121" s="8">
        <f t="shared" ref="CA121:CA123" si="125">SUM(B121:BZ121)</f>
        <v>3778.8433999999997</v>
      </c>
      <c r="CB121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21" s="85" t="e">
        <f t="shared" ref="CC121:CC137" si="126">CA121-CB121</f>
        <v>#REF!</v>
      </c>
    </row>
    <row r="122" spans="1:81">
      <c r="A122" s="78" t="s">
        <v>199</v>
      </c>
      <c r="B122" s="8">
        <v>0</v>
      </c>
      <c r="C122" s="8">
        <f>C258</f>
        <v>1431.5467016630896</v>
      </c>
      <c r="D122" s="8">
        <f t="shared" ref="D122:BP122" si="127">D258</f>
        <v>485.22360435535597</v>
      </c>
      <c r="E122" s="8">
        <f t="shared" si="127"/>
        <v>180.93083552233614</v>
      </c>
      <c r="F122" s="8">
        <f t="shared" si="127"/>
        <v>180.93083552233614</v>
      </c>
      <c r="G122" s="8">
        <f t="shared" si="127"/>
        <v>180.93083552233614</v>
      </c>
      <c r="H122" s="8">
        <f t="shared" si="127"/>
        <v>304.29276883301981</v>
      </c>
      <c r="I122" s="8">
        <f t="shared" si="127"/>
        <v>0</v>
      </c>
      <c r="J122" s="8">
        <f t="shared" si="127"/>
        <v>344.31686275159723</v>
      </c>
      <c r="K122" s="8">
        <f t="shared" si="127"/>
        <v>180.93083552233614</v>
      </c>
      <c r="L122" s="8">
        <f t="shared" si="127"/>
        <v>688.08545024403588</v>
      </c>
      <c r="M122" s="8">
        <f t="shared" si="127"/>
        <v>0</v>
      </c>
      <c r="N122" s="8">
        <f t="shared" si="127"/>
        <v>736.6845692158538</v>
      </c>
      <c r="O122" s="8">
        <f t="shared" si="127"/>
        <v>0</v>
      </c>
      <c r="P122" s="8">
        <f t="shared" si="127"/>
        <v>0</v>
      </c>
      <c r="Q122" s="8">
        <f t="shared" si="127"/>
        <v>0</v>
      </c>
      <c r="R122" s="8">
        <f t="shared" si="127"/>
        <v>0</v>
      </c>
      <c r="S122" s="8">
        <f t="shared" si="127"/>
        <v>0</v>
      </c>
      <c r="T122" s="8">
        <f t="shared" si="127"/>
        <v>0</v>
      </c>
      <c r="U122" s="8">
        <f t="shared" si="127"/>
        <v>163.38602722926109</v>
      </c>
      <c r="V122" s="8">
        <f t="shared" si="127"/>
        <v>0</v>
      </c>
      <c r="W122" s="8">
        <f t="shared" si="127"/>
        <v>0</v>
      </c>
      <c r="X122" s="8">
        <f t="shared" si="127"/>
        <v>0</v>
      </c>
      <c r="Y122" s="8">
        <f t="shared" si="127"/>
        <v>0</v>
      </c>
      <c r="Z122" s="8">
        <f t="shared" si="127"/>
        <v>0</v>
      </c>
      <c r="AA122" s="8">
        <f t="shared" si="127"/>
        <v>0</v>
      </c>
      <c r="AB122" s="8">
        <f t="shared" si="127"/>
        <v>0</v>
      </c>
      <c r="AC122" s="8">
        <f t="shared" si="127"/>
        <v>0</v>
      </c>
      <c r="AD122" s="8">
        <f t="shared" si="127"/>
        <v>0</v>
      </c>
      <c r="AE122" s="8">
        <v>0</v>
      </c>
      <c r="AF122" s="8">
        <f t="shared" si="127"/>
        <v>0</v>
      </c>
      <c r="AG122" s="8">
        <f t="shared" si="127"/>
        <v>5004.6565655996492</v>
      </c>
      <c r="AH122" s="8">
        <f t="shared" si="127"/>
        <v>0</v>
      </c>
      <c r="AI122" s="8">
        <f t="shared" si="127"/>
        <v>0</v>
      </c>
      <c r="AJ122" s="88">
        <f t="shared" si="127"/>
        <v>0</v>
      </c>
      <c r="AK122" s="88">
        <f t="shared" si="127"/>
        <v>0</v>
      </c>
      <c r="AL122" s="88">
        <f t="shared" si="127"/>
        <v>0</v>
      </c>
      <c r="AM122" s="88">
        <f t="shared" si="127"/>
        <v>0</v>
      </c>
      <c r="AN122" s="88">
        <f t="shared" si="127"/>
        <v>0</v>
      </c>
      <c r="AO122" s="88">
        <f t="shared" si="127"/>
        <v>0</v>
      </c>
      <c r="AP122" s="88">
        <f t="shared" si="127"/>
        <v>0</v>
      </c>
      <c r="AQ122" s="8">
        <f t="shared" si="127"/>
        <v>0</v>
      </c>
      <c r="AR122" s="8">
        <f t="shared" si="127"/>
        <v>0</v>
      </c>
      <c r="AS122" s="88">
        <f t="shared" si="127"/>
        <v>0</v>
      </c>
      <c r="AT122" s="8">
        <f t="shared" si="127"/>
        <v>0</v>
      </c>
      <c r="AU122" s="88">
        <f t="shared" si="127"/>
        <v>0</v>
      </c>
      <c r="AV122" s="88">
        <f t="shared" si="127"/>
        <v>0</v>
      </c>
      <c r="AW122" s="8">
        <f t="shared" si="127"/>
        <v>0</v>
      </c>
      <c r="AX122" s="8">
        <f t="shared" si="127"/>
        <v>0</v>
      </c>
      <c r="AY122" s="88">
        <f t="shared" si="127"/>
        <v>0</v>
      </c>
      <c r="AZ122" s="8">
        <f t="shared" si="127"/>
        <v>0</v>
      </c>
      <c r="BA122" s="8">
        <f t="shared" si="127"/>
        <v>0</v>
      </c>
      <c r="BB122" s="8">
        <f t="shared" si="127"/>
        <v>0</v>
      </c>
      <c r="BC122" s="88">
        <f t="shared" si="127"/>
        <v>0</v>
      </c>
      <c r="BD122" s="88">
        <f t="shared" si="127"/>
        <v>0</v>
      </c>
      <c r="BE122" s="88">
        <f t="shared" si="127"/>
        <v>0</v>
      </c>
      <c r="BF122" s="88">
        <f t="shared" si="127"/>
        <v>704.53370801879362</v>
      </c>
      <c r="BG122" s="8">
        <f t="shared" si="127"/>
        <v>0</v>
      </c>
      <c r="BH122" s="8">
        <f t="shared" si="127"/>
        <v>0</v>
      </c>
      <c r="BI122" s="8">
        <f t="shared" si="127"/>
        <v>0</v>
      </c>
      <c r="BJ122" s="8">
        <f t="shared" si="127"/>
        <v>0</v>
      </c>
      <c r="BK122" s="8">
        <f t="shared" si="127"/>
        <v>0</v>
      </c>
      <c r="BL122" s="8">
        <f t="shared" si="127"/>
        <v>0</v>
      </c>
      <c r="BM122" s="8">
        <f t="shared" si="127"/>
        <v>0</v>
      </c>
      <c r="BN122" s="8">
        <f t="shared" si="127"/>
        <v>0</v>
      </c>
      <c r="BO122" s="8">
        <f t="shared" si="127"/>
        <v>0</v>
      </c>
      <c r="BP122" s="8">
        <f t="shared" si="127"/>
        <v>0</v>
      </c>
      <c r="BQ122" s="8">
        <f t="shared" ref="BQ122:BZ122" si="128">BQ258</f>
        <v>0</v>
      </c>
      <c r="BR122" s="8">
        <f t="shared" si="128"/>
        <v>0</v>
      </c>
      <c r="BS122" s="8">
        <f t="shared" si="128"/>
        <v>0</v>
      </c>
      <c r="BT122" s="8">
        <f t="shared" si="128"/>
        <v>0</v>
      </c>
      <c r="BU122" s="8">
        <f t="shared" si="128"/>
        <v>0</v>
      </c>
      <c r="BV122" s="8">
        <f t="shared" si="128"/>
        <v>0</v>
      </c>
      <c r="BW122" s="8">
        <f t="shared" si="128"/>
        <v>0</v>
      </c>
      <c r="BX122" s="88">
        <f t="shared" si="128"/>
        <v>0</v>
      </c>
      <c r="BY122" s="88">
        <f t="shared" si="128"/>
        <v>0</v>
      </c>
      <c r="BZ122" s="88">
        <f t="shared" si="128"/>
        <v>0</v>
      </c>
      <c r="CA122" s="8">
        <f t="shared" si="125"/>
        <v>10586.4496</v>
      </c>
      <c r="CB122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22" s="85" t="e">
        <f t="shared" si="126"/>
        <v>#REF!</v>
      </c>
    </row>
    <row r="123" spans="1:81">
      <c r="A123" s="78" t="s">
        <v>200</v>
      </c>
      <c r="B123" s="8">
        <v>0</v>
      </c>
      <c r="C123" s="8">
        <f>('June 2024 YTD'!C123*2)*1.03</f>
        <v>0</v>
      </c>
      <c r="D123" s="8">
        <f>('June 2024 YTD'!D123*2)*1.03</f>
        <v>0</v>
      </c>
      <c r="E123" s="8">
        <f>('June 2024 YTD'!E123*2)*1.03</f>
        <v>0</v>
      </c>
      <c r="F123" s="8">
        <f>('June 2024 YTD'!F123*2)*1.03</f>
        <v>0</v>
      </c>
      <c r="G123" s="8">
        <f>('June 2024 YTD'!G123*2)*1.03</f>
        <v>0</v>
      </c>
      <c r="H123" s="8">
        <f>('June 2024 YTD'!H123*2)*1.03</f>
        <v>0</v>
      </c>
      <c r="I123" s="8">
        <f>('June 2024 YTD'!I123*2)*1.03</f>
        <v>0</v>
      </c>
      <c r="J123" s="8">
        <f>('June 2024 YTD'!J123*2)*1.03</f>
        <v>0</v>
      </c>
      <c r="K123" s="8">
        <f>('June 2024 YTD'!K123*2)*1.03</f>
        <v>0</v>
      </c>
      <c r="L123" s="8">
        <f>('June 2024 YTD'!L123*2)*1.03</f>
        <v>0</v>
      </c>
      <c r="M123" s="8">
        <f>('June 2024 YTD'!M123*2)*1.03</f>
        <v>0</v>
      </c>
      <c r="N123" s="8">
        <f>('June 2024 YTD'!N123*2)*1.03</f>
        <v>0</v>
      </c>
      <c r="O123" s="8">
        <f>('June 2024 YTD'!O123*2)*1.03</f>
        <v>0</v>
      </c>
      <c r="P123" s="8">
        <f>('June 2024 YTD'!P123*2)*1.03</f>
        <v>0</v>
      </c>
      <c r="Q123" s="8">
        <f>('June 2024 YTD'!Q123*2)*1.03</f>
        <v>0</v>
      </c>
      <c r="R123" s="8">
        <f>('June 2024 YTD'!R123*2)*1.03</f>
        <v>0</v>
      </c>
      <c r="S123" s="8">
        <f>('June 2024 YTD'!S123*2)*1.03</f>
        <v>0</v>
      </c>
      <c r="T123" s="8">
        <f>('June 2024 YTD'!T123*2)*1.03</f>
        <v>0</v>
      </c>
      <c r="U123" s="8">
        <f>('June 2024 YTD'!U123*2)*1.03</f>
        <v>0</v>
      </c>
      <c r="V123" s="8">
        <f>('June 2024 YTD'!V123*2)*1.03</f>
        <v>0</v>
      </c>
      <c r="W123" s="8">
        <f>('June 2024 YTD'!W123*2)*1.03</f>
        <v>0</v>
      </c>
      <c r="X123" s="8">
        <f>('June 2024 YTD'!X123*2)*1.03</f>
        <v>0</v>
      </c>
      <c r="Y123" s="8">
        <f>('June 2024 YTD'!Y123*2)*1.03</f>
        <v>0</v>
      </c>
      <c r="Z123" s="8">
        <f>('June 2024 YTD'!Z123*2)*1.03</f>
        <v>0</v>
      </c>
      <c r="AA123" s="8">
        <f>('June 2024 YTD'!AA123*2)*1.03</f>
        <v>0</v>
      </c>
      <c r="AB123" s="8">
        <f>('June 2024 YTD'!AB123*2)*1.03</f>
        <v>0</v>
      </c>
      <c r="AC123" s="8">
        <f>('June 2024 YTD'!AC123*2)*1.03</f>
        <v>0</v>
      </c>
      <c r="AD123" s="8">
        <f>('June 2024 YTD'!AD123*2)*1.03</f>
        <v>0</v>
      </c>
      <c r="AE123" s="8">
        <v>0</v>
      </c>
      <c r="AF123" s="8">
        <f>('June 2024 YTD'!AE123*2)*1.03</f>
        <v>0</v>
      </c>
      <c r="AG123" s="8">
        <f>('June 2024 YTD'!AF123*2)*1.03</f>
        <v>0</v>
      </c>
      <c r="AH123" s="8">
        <f>('June 2024 YTD'!AG123*2)*1.03</f>
        <v>0</v>
      </c>
      <c r="AI123" s="8">
        <f>('June 2024 YTD'!AH123*2)*1.03</f>
        <v>0</v>
      </c>
      <c r="AJ123" s="88">
        <f>('June 2024 YTD'!AI123*2)*1.03</f>
        <v>0</v>
      </c>
      <c r="AK123" s="88">
        <f>('June 2024 YTD'!AJ123*2)*1.03</f>
        <v>0</v>
      </c>
      <c r="AL123" s="88">
        <f>('June 2024 YTD'!AK123*2)*1.03</f>
        <v>0</v>
      </c>
      <c r="AM123" s="88">
        <f>('June 2024 YTD'!AL123*2)*1.03</f>
        <v>0</v>
      </c>
      <c r="AN123" s="88">
        <f>('June 2024 YTD'!AM123*2)*1.03</f>
        <v>0</v>
      </c>
      <c r="AO123" s="88">
        <f>('June 2024 YTD'!AN123*2)*1.03</f>
        <v>0</v>
      </c>
      <c r="AP123" s="88">
        <f>('June 2024 YTD'!AO123*2)*1.03</f>
        <v>0</v>
      </c>
      <c r="AQ123" s="8">
        <f>('June 2024 YTD'!AP123*2)*1.03</f>
        <v>0</v>
      </c>
      <c r="AR123" s="8">
        <f>('June 2024 YTD'!AQ123*2)*1.03</f>
        <v>0</v>
      </c>
      <c r="AS123" s="88">
        <f>('June 2024 YTD'!AR123*2)*1.03</f>
        <v>0</v>
      </c>
      <c r="AT123" s="8">
        <f>('June 2024 YTD'!AS123*2)*1.03</f>
        <v>0</v>
      </c>
      <c r="AU123" s="88">
        <f>('June 2024 YTD'!AT123*2)*1.03</f>
        <v>0</v>
      </c>
      <c r="AV123" s="88">
        <f>('June 2024 YTD'!AU123*2)*1.03</f>
        <v>0</v>
      </c>
      <c r="AW123" s="8">
        <f>('June 2024 YTD'!AV123*2)*1.03</f>
        <v>0</v>
      </c>
      <c r="AX123" s="8">
        <f>('June 2024 YTD'!AW123*2)*1.03</f>
        <v>0</v>
      </c>
      <c r="AY123" s="88">
        <f>('June 2024 YTD'!AX123*2)*1.03</f>
        <v>0</v>
      </c>
      <c r="AZ123" s="8">
        <f>('June 2024 YTD'!AY123*2)*1.03</f>
        <v>0</v>
      </c>
      <c r="BA123" s="8">
        <f>('June 2024 YTD'!AZ123*2)*1.03</f>
        <v>0</v>
      </c>
      <c r="BB123" s="8">
        <f>('June 2024 YTD'!BA123*2)*1.03</f>
        <v>5649.8796000000002</v>
      </c>
      <c r="BC123" s="88">
        <f>('June 2024 YTD'!BB123*2)*1.03</f>
        <v>0</v>
      </c>
      <c r="BD123" s="88">
        <f>('June 2024 YTD'!BC123*2)*1.03</f>
        <v>0</v>
      </c>
      <c r="BE123" s="88">
        <f>('June 2024 YTD'!BD123*2)*1.03</f>
        <v>0</v>
      </c>
      <c r="BF123" s="88">
        <f>('June 2024 YTD'!BE123*2)*1.03</f>
        <v>0</v>
      </c>
      <c r="BG123" s="8">
        <f>('June 2024 YTD'!BF123*2)*1.03</f>
        <v>0</v>
      </c>
      <c r="BH123" s="8">
        <f>('June 2024 YTD'!BG123*2)*1.03</f>
        <v>0</v>
      </c>
      <c r="BI123" s="8">
        <f>('June 2024 YTD'!BH123*2)*1.03</f>
        <v>0</v>
      </c>
      <c r="BJ123" s="8">
        <f>('June 2024 YTD'!BI123*2)*1.03</f>
        <v>0</v>
      </c>
      <c r="BK123" s="8">
        <f>('June 2024 YTD'!BJ123*2)*1.03</f>
        <v>0</v>
      </c>
      <c r="BL123" s="8">
        <f>('June 2024 YTD'!BK123*2)*1.03</f>
        <v>0</v>
      </c>
      <c r="BM123" s="8">
        <f>('June 2024 YTD'!BL123*2)*1.03</f>
        <v>0</v>
      </c>
      <c r="BN123" s="8">
        <f>('June 2024 YTD'!BM123*2)*1.03</f>
        <v>0</v>
      </c>
      <c r="BO123" s="8">
        <f>('June 2024 YTD'!BN123*2)*1.03</f>
        <v>0</v>
      </c>
      <c r="BP123" s="8">
        <f>('June 2024 YTD'!BO123*2)*1.03</f>
        <v>0</v>
      </c>
      <c r="BQ123" s="8">
        <f>('June 2024 YTD'!BP123*2)*1.03</f>
        <v>0</v>
      </c>
      <c r="BR123" s="8">
        <f>('June 2024 YTD'!BQ123*2)*1.03</f>
        <v>0</v>
      </c>
      <c r="BS123" s="8">
        <f>('June 2024 YTD'!BR123*2)*1.03</f>
        <v>0</v>
      </c>
      <c r="BT123" s="8">
        <f>('June 2024 YTD'!BS123*2)*1.03</f>
        <v>0</v>
      </c>
      <c r="BU123" s="8">
        <f>('June 2024 YTD'!BT123*2)*1.03</f>
        <v>0</v>
      </c>
      <c r="BV123" s="8">
        <f>('June 2024 YTD'!BU123*2)*1.03</f>
        <v>0</v>
      </c>
      <c r="BW123" s="8">
        <f>('June 2024 YTD'!BV123*2)*1.03</f>
        <v>0</v>
      </c>
      <c r="BX123" s="88">
        <f>('June 2024 YTD'!BW123*2)*1.03</f>
        <v>0</v>
      </c>
      <c r="BY123" s="88">
        <f>('June 2024 YTD'!BX123*2)*1.03</f>
        <v>0</v>
      </c>
      <c r="BZ123" s="88">
        <f>('June 2024 YTD'!BY123*2)*1.03</f>
        <v>0</v>
      </c>
      <c r="CA123" s="8">
        <f t="shared" si="125"/>
        <v>5649.8796000000002</v>
      </c>
      <c r="CB123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23" s="85" t="e">
        <f t="shared" si="126"/>
        <v>#REF!</v>
      </c>
    </row>
    <row r="124" spans="1:81">
      <c r="A124" s="9" t="s">
        <v>201</v>
      </c>
      <c r="B124" s="10">
        <f t="shared" ref="B124:BN124" si="129">SUM(B121:B123)</f>
        <v>0</v>
      </c>
      <c r="C124" s="10">
        <f t="shared" si="129"/>
        <v>2944.2459016630901</v>
      </c>
      <c r="D124" s="10">
        <f t="shared" si="129"/>
        <v>692.95400435535601</v>
      </c>
      <c r="E124" s="10">
        <f t="shared" si="129"/>
        <v>253.38103552233616</v>
      </c>
      <c r="F124" s="10">
        <f t="shared" si="129"/>
        <v>180.93083552233614</v>
      </c>
      <c r="G124" s="10">
        <f t="shared" si="129"/>
        <v>468.0124355223362</v>
      </c>
      <c r="H124" s="10">
        <f t="shared" si="129"/>
        <v>376.55756883301979</v>
      </c>
      <c r="I124" s="10">
        <f t="shared" si="129"/>
        <v>0</v>
      </c>
      <c r="J124" s="10">
        <f t="shared" si="129"/>
        <v>1036.3944627515971</v>
      </c>
      <c r="K124" s="10">
        <f t="shared" si="129"/>
        <v>180.93083552233614</v>
      </c>
      <c r="L124" s="10">
        <f t="shared" si="129"/>
        <v>760.35025024403592</v>
      </c>
      <c r="M124" s="10">
        <f t="shared" si="129"/>
        <v>0</v>
      </c>
      <c r="N124" s="10">
        <f t="shared" si="129"/>
        <v>942.6845692158538</v>
      </c>
      <c r="O124" s="10">
        <f t="shared" si="129"/>
        <v>456.702</v>
      </c>
      <c r="P124" s="10">
        <f t="shared" si="129"/>
        <v>0</v>
      </c>
      <c r="Q124" s="10">
        <f t="shared" si="129"/>
        <v>0</v>
      </c>
      <c r="R124" s="10">
        <f t="shared" si="129"/>
        <v>0</v>
      </c>
      <c r="S124" s="10">
        <f t="shared" si="129"/>
        <v>0</v>
      </c>
      <c r="T124" s="10">
        <f t="shared" si="129"/>
        <v>0</v>
      </c>
      <c r="U124" s="10">
        <f t="shared" si="129"/>
        <v>211.42522722926108</v>
      </c>
      <c r="V124" s="10">
        <f t="shared" si="129"/>
        <v>0</v>
      </c>
      <c r="W124" s="10">
        <f t="shared" si="129"/>
        <v>0</v>
      </c>
      <c r="X124" s="10">
        <f t="shared" si="129"/>
        <v>0</v>
      </c>
      <c r="Y124" s="10">
        <f t="shared" si="129"/>
        <v>0</v>
      </c>
      <c r="Z124" s="10">
        <f t="shared" si="129"/>
        <v>79.268799999999999</v>
      </c>
      <c r="AA124" s="10">
        <f t="shared" si="129"/>
        <v>0</v>
      </c>
      <c r="AB124" s="10">
        <f t="shared" si="129"/>
        <v>0</v>
      </c>
      <c r="AC124" s="10">
        <f t="shared" si="129"/>
        <v>0</v>
      </c>
      <c r="AD124" s="10">
        <f t="shared" si="129"/>
        <v>0</v>
      </c>
      <c r="AE124" s="10">
        <f t="shared" ref="AE124" si="130">SUM(AE121:AE123)</f>
        <v>0</v>
      </c>
      <c r="AF124" s="10">
        <f t="shared" si="129"/>
        <v>0</v>
      </c>
      <c r="AG124" s="10">
        <f t="shared" si="129"/>
        <v>5076.9213655996491</v>
      </c>
      <c r="AH124" s="10">
        <f t="shared" si="129"/>
        <v>0</v>
      </c>
      <c r="AI124" s="10">
        <f t="shared" si="129"/>
        <v>0</v>
      </c>
      <c r="AJ124" s="89">
        <f t="shared" si="129"/>
        <v>0</v>
      </c>
      <c r="AK124" s="89">
        <f t="shared" si="129"/>
        <v>0</v>
      </c>
      <c r="AL124" s="89">
        <f t="shared" si="129"/>
        <v>0</v>
      </c>
      <c r="AM124" s="89">
        <f t="shared" si="129"/>
        <v>0</v>
      </c>
      <c r="AN124" s="89">
        <f t="shared" si="129"/>
        <v>0</v>
      </c>
      <c r="AO124" s="89">
        <f t="shared" si="129"/>
        <v>0</v>
      </c>
      <c r="AP124" s="89">
        <f t="shared" si="129"/>
        <v>0</v>
      </c>
      <c r="AQ124" s="10">
        <f t="shared" si="129"/>
        <v>0</v>
      </c>
      <c r="AR124" s="10">
        <f t="shared" si="129"/>
        <v>0</v>
      </c>
      <c r="AS124" s="89">
        <f t="shared" si="129"/>
        <v>0</v>
      </c>
      <c r="AT124" s="10">
        <f t="shared" si="129"/>
        <v>0</v>
      </c>
      <c r="AU124" s="89">
        <f t="shared" si="129"/>
        <v>0</v>
      </c>
      <c r="AV124" s="89">
        <f t="shared" si="129"/>
        <v>0</v>
      </c>
      <c r="AW124" s="10">
        <f t="shared" si="129"/>
        <v>0</v>
      </c>
      <c r="AX124" s="10">
        <f t="shared" si="129"/>
        <v>0</v>
      </c>
      <c r="AY124" s="89">
        <f t="shared" si="129"/>
        <v>0</v>
      </c>
      <c r="AZ124" s="10">
        <f t="shared" si="129"/>
        <v>0</v>
      </c>
      <c r="BA124" s="10">
        <f t="shared" si="129"/>
        <v>0</v>
      </c>
      <c r="BB124" s="10">
        <f t="shared" si="129"/>
        <v>5649.8796000000002</v>
      </c>
      <c r="BC124" s="89">
        <f t="shared" si="129"/>
        <v>0</v>
      </c>
      <c r="BD124" s="89">
        <f t="shared" si="129"/>
        <v>0</v>
      </c>
      <c r="BE124" s="89">
        <f t="shared" si="129"/>
        <v>0</v>
      </c>
      <c r="BF124" s="89">
        <f t="shared" si="129"/>
        <v>704.53370801879362</v>
      </c>
      <c r="BG124" s="10">
        <f t="shared" si="129"/>
        <v>0</v>
      </c>
      <c r="BH124" s="10">
        <f t="shared" si="129"/>
        <v>0</v>
      </c>
      <c r="BI124" s="10">
        <f t="shared" si="129"/>
        <v>0</v>
      </c>
      <c r="BJ124" s="10">
        <f t="shared" si="129"/>
        <v>0</v>
      </c>
      <c r="BK124" s="10">
        <f t="shared" si="129"/>
        <v>0</v>
      </c>
      <c r="BL124" s="10">
        <f t="shared" si="129"/>
        <v>0</v>
      </c>
      <c r="BM124" s="10">
        <f t="shared" si="129"/>
        <v>0</v>
      </c>
      <c r="BN124" s="10">
        <f t="shared" si="129"/>
        <v>0</v>
      </c>
      <c r="BO124" s="10">
        <f t="shared" ref="BO124:CB124" si="131">SUM(BO121:BO123)</f>
        <v>0</v>
      </c>
      <c r="BP124" s="10">
        <f t="shared" si="131"/>
        <v>0</v>
      </c>
      <c r="BQ124" s="10">
        <f t="shared" si="131"/>
        <v>0</v>
      </c>
      <c r="BR124" s="10">
        <f t="shared" si="131"/>
        <v>0</v>
      </c>
      <c r="BS124" s="10">
        <f t="shared" si="131"/>
        <v>0</v>
      </c>
      <c r="BT124" s="10">
        <f t="shared" si="131"/>
        <v>0</v>
      </c>
      <c r="BU124" s="10">
        <f t="shared" si="131"/>
        <v>0</v>
      </c>
      <c r="BV124" s="10">
        <f t="shared" si="131"/>
        <v>0</v>
      </c>
      <c r="BW124" s="10">
        <f t="shared" si="131"/>
        <v>0</v>
      </c>
      <c r="BX124" s="89">
        <f t="shared" si="131"/>
        <v>0</v>
      </c>
      <c r="BY124" s="89">
        <f t="shared" si="131"/>
        <v>0</v>
      </c>
      <c r="BZ124" s="89">
        <f t="shared" si="131"/>
        <v>0</v>
      </c>
      <c r="CA124" s="10">
        <f t="shared" si="131"/>
        <v>20015.172599999998</v>
      </c>
      <c r="CB124" s="10" t="e">
        <f t="shared" si="131"/>
        <v>#REF!</v>
      </c>
      <c r="CC124" s="85" t="e">
        <f t="shared" si="126"/>
        <v>#REF!</v>
      </c>
    </row>
    <row r="125" spans="1:81">
      <c r="A125" s="6" t="s">
        <v>202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87"/>
      <c r="AK125" s="87"/>
      <c r="AL125" s="87"/>
      <c r="AM125" s="87"/>
      <c r="AN125" s="87"/>
      <c r="AO125" s="87"/>
      <c r="AP125" s="87"/>
      <c r="AQ125" s="4"/>
      <c r="AR125" s="4"/>
      <c r="AS125" s="87"/>
      <c r="AT125" s="4"/>
      <c r="AU125" s="87"/>
      <c r="AV125" s="87"/>
      <c r="AW125" s="4"/>
      <c r="AX125" s="4"/>
      <c r="AY125" s="87"/>
      <c r="AZ125" s="4"/>
      <c r="BA125" s="4"/>
      <c r="BB125" s="4"/>
      <c r="BC125" s="87"/>
      <c r="BD125" s="87"/>
      <c r="BE125" s="87"/>
      <c r="BF125" s="87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87"/>
      <c r="BY125" s="87"/>
      <c r="BZ125" s="87"/>
      <c r="CA125" s="4"/>
      <c r="CC125" s="85">
        <f t="shared" si="126"/>
        <v>0</v>
      </c>
    </row>
    <row r="126" spans="1:81">
      <c r="A126" s="78" t="s">
        <v>203</v>
      </c>
      <c r="B126" s="8">
        <v>0</v>
      </c>
      <c r="C126" s="8">
        <f>C263</f>
        <v>0</v>
      </c>
      <c r="D126" s="8">
        <f t="shared" ref="D126:BP126" si="132">D263</f>
        <v>0</v>
      </c>
      <c r="E126" s="8">
        <f t="shared" si="132"/>
        <v>0</v>
      </c>
      <c r="F126" s="8">
        <f t="shared" si="132"/>
        <v>0</v>
      </c>
      <c r="G126" s="8">
        <f t="shared" si="132"/>
        <v>0</v>
      </c>
      <c r="H126" s="8">
        <f t="shared" si="132"/>
        <v>0</v>
      </c>
      <c r="I126" s="8">
        <f t="shared" si="132"/>
        <v>0</v>
      </c>
      <c r="J126" s="8">
        <f t="shared" si="132"/>
        <v>0</v>
      </c>
      <c r="K126" s="8">
        <f t="shared" si="132"/>
        <v>0</v>
      </c>
      <c r="L126" s="8">
        <f t="shared" si="132"/>
        <v>0</v>
      </c>
      <c r="M126" s="8">
        <f t="shared" si="132"/>
        <v>0</v>
      </c>
      <c r="N126" s="8">
        <f t="shared" si="132"/>
        <v>0</v>
      </c>
      <c r="O126" s="8">
        <f t="shared" si="132"/>
        <v>0</v>
      </c>
      <c r="P126" s="8">
        <f t="shared" si="132"/>
        <v>0</v>
      </c>
      <c r="Q126" s="8">
        <f t="shared" si="132"/>
        <v>0</v>
      </c>
      <c r="R126" s="8">
        <f t="shared" si="132"/>
        <v>0</v>
      </c>
      <c r="S126" s="8">
        <f t="shared" si="132"/>
        <v>0</v>
      </c>
      <c r="T126" s="8">
        <f t="shared" si="132"/>
        <v>0</v>
      </c>
      <c r="U126" s="8">
        <f t="shared" si="132"/>
        <v>0</v>
      </c>
      <c r="V126" s="8">
        <f t="shared" si="132"/>
        <v>0</v>
      </c>
      <c r="W126" s="8">
        <f t="shared" si="132"/>
        <v>0</v>
      </c>
      <c r="X126" s="8">
        <f t="shared" si="132"/>
        <v>0</v>
      </c>
      <c r="Y126" s="8">
        <f t="shared" si="132"/>
        <v>0</v>
      </c>
      <c r="Z126" s="8">
        <f t="shared" si="132"/>
        <v>0</v>
      </c>
      <c r="AA126" s="8">
        <f t="shared" si="132"/>
        <v>0</v>
      </c>
      <c r="AB126" s="8">
        <f t="shared" si="132"/>
        <v>0</v>
      </c>
      <c r="AC126" s="8">
        <f t="shared" si="132"/>
        <v>0</v>
      </c>
      <c r="AD126" s="8">
        <f t="shared" si="132"/>
        <v>0</v>
      </c>
      <c r="AE126" s="8">
        <v>0</v>
      </c>
      <c r="AF126" s="8">
        <f t="shared" si="132"/>
        <v>8319.9774904080714</v>
      </c>
      <c r="AG126" s="8">
        <f t="shared" si="132"/>
        <v>0</v>
      </c>
      <c r="AH126" s="8">
        <f t="shared" si="132"/>
        <v>0</v>
      </c>
      <c r="AI126" s="8">
        <f t="shared" si="132"/>
        <v>44515.839386224005</v>
      </c>
      <c r="AJ126" s="88">
        <f t="shared" si="132"/>
        <v>0</v>
      </c>
      <c r="AK126" s="88">
        <f t="shared" si="132"/>
        <v>0</v>
      </c>
      <c r="AL126" s="88">
        <f t="shared" si="132"/>
        <v>0</v>
      </c>
      <c r="AM126" s="88">
        <f t="shared" si="132"/>
        <v>0</v>
      </c>
      <c r="AN126" s="88">
        <f t="shared" si="132"/>
        <v>206.18654208888526</v>
      </c>
      <c r="AO126" s="88">
        <f t="shared" si="132"/>
        <v>0</v>
      </c>
      <c r="AP126" s="88">
        <f t="shared" si="132"/>
        <v>0</v>
      </c>
      <c r="AQ126" s="8">
        <f t="shared" si="132"/>
        <v>0</v>
      </c>
      <c r="AR126" s="8">
        <f t="shared" si="132"/>
        <v>22549.90045536407</v>
      </c>
      <c r="AS126" s="88">
        <f t="shared" si="132"/>
        <v>0</v>
      </c>
      <c r="AT126" s="8">
        <f t="shared" si="132"/>
        <v>0</v>
      </c>
      <c r="AU126" s="88">
        <f t="shared" si="132"/>
        <v>0</v>
      </c>
      <c r="AV126" s="88">
        <f t="shared" si="132"/>
        <v>0</v>
      </c>
      <c r="AW126" s="8">
        <f t="shared" si="132"/>
        <v>0</v>
      </c>
      <c r="AX126" s="8">
        <f t="shared" si="132"/>
        <v>0</v>
      </c>
      <c r="AY126" s="88">
        <f t="shared" si="132"/>
        <v>0</v>
      </c>
      <c r="AZ126" s="8">
        <f t="shared" si="132"/>
        <v>0</v>
      </c>
      <c r="BA126" s="8">
        <f t="shared" si="132"/>
        <v>0</v>
      </c>
      <c r="BB126" s="8">
        <f t="shared" si="132"/>
        <v>14619.388724307693</v>
      </c>
      <c r="BC126" s="88">
        <f t="shared" si="132"/>
        <v>0</v>
      </c>
      <c r="BD126" s="88">
        <f t="shared" si="132"/>
        <v>0</v>
      </c>
      <c r="BE126" s="88">
        <f t="shared" si="132"/>
        <v>0</v>
      </c>
      <c r="BF126" s="88">
        <f t="shared" si="132"/>
        <v>0</v>
      </c>
      <c r="BG126" s="93">
        <f>0</f>
        <v>0</v>
      </c>
      <c r="BH126" s="93">
        <f>0</f>
        <v>0</v>
      </c>
      <c r="BI126" s="93">
        <f>100000</f>
        <v>100000</v>
      </c>
      <c r="BJ126" s="8">
        <f t="shared" si="132"/>
        <v>0</v>
      </c>
      <c r="BK126" s="8">
        <f t="shared" si="132"/>
        <v>0</v>
      </c>
      <c r="BL126" s="8">
        <f t="shared" si="132"/>
        <v>0</v>
      </c>
      <c r="BM126" s="8">
        <f t="shared" si="132"/>
        <v>0</v>
      </c>
      <c r="BN126" s="8">
        <f t="shared" si="132"/>
        <v>0</v>
      </c>
      <c r="BO126" s="8">
        <f t="shared" si="132"/>
        <v>0</v>
      </c>
      <c r="BP126" s="8">
        <f t="shared" si="132"/>
        <v>0</v>
      </c>
      <c r="BQ126" s="8">
        <f t="shared" ref="BQ126:BZ126" si="133">BQ263</f>
        <v>0</v>
      </c>
      <c r="BR126" s="8">
        <f t="shared" si="133"/>
        <v>0</v>
      </c>
      <c r="BS126" s="8">
        <f t="shared" si="133"/>
        <v>0</v>
      </c>
      <c r="BT126" s="8">
        <f t="shared" si="133"/>
        <v>0</v>
      </c>
      <c r="BU126" s="8">
        <f t="shared" si="133"/>
        <v>0</v>
      </c>
      <c r="BV126" s="8">
        <f t="shared" si="133"/>
        <v>0</v>
      </c>
      <c r="BW126" s="8">
        <f t="shared" si="133"/>
        <v>0</v>
      </c>
      <c r="BX126" s="88">
        <f t="shared" si="133"/>
        <v>0</v>
      </c>
      <c r="BY126" s="88">
        <f t="shared" si="133"/>
        <v>0</v>
      </c>
      <c r="BZ126" s="88">
        <f t="shared" si="133"/>
        <v>0</v>
      </c>
      <c r="CA126" s="8">
        <f t="shared" ref="CA126:CA142" si="134">SUM(B126:BZ126)</f>
        <v>190211.2925983927</v>
      </c>
      <c r="CB126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26" s="85" t="e">
        <f t="shared" si="126"/>
        <v>#REF!</v>
      </c>
    </row>
    <row r="127" spans="1:81">
      <c r="A127" s="78" t="s">
        <v>204</v>
      </c>
      <c r="B127" s="8">
        <v>0</v>
      </c>
      <c r="C127" s="8">
        <f>('June 2024 YTD'!C127*2)*1.03</f>
        <v>0</v>
      </c>
      <c r="D127" s="8">
        <f>('June 2024 YTD'!D127*2)*1.03</f>
        <v>0</v>
      </c>
      <c r="E127" s="8">
        <f>('June 2024 YTD'!E127*2)*1.03</f>
        <v>0</v>
      </c>
      <c r="F127" s="8">
        <f>('June 2024 YTD'!F127*2)*1.03</f>
        <v>0</v>
      </c>
      <c r="G127" s="8">
        <f>('June 2024 YTD'!G127*2)*1.03</f>
        <v>0</v>
      </c>
      <c r="H127" s="8">
        <f>('June 2024 YTD'!H127*2)*1.03</f>
        <v>0</v>
      </c>
      <c r="I127" s="8">
        <f>('June 2024 YTD'!I127*2)*1.03</f>
        <v>0</v>
      </c>
      <c r="J127" s="8">
        <f>('June 2024 YTD'!J127*2)*1.03</f>
        <v>0</v>
      </c>
      <c r="K127" s="8">
        <f>('June 2024 YTD'!K127*2)*1.03</f>
        <v>0</v>
      </c>
      <c r="L127" s="8">
        <f>('June 2024 YTD'!L127*2)*1.03</f>
        <v>0</v>
      </c>
      <c r="M127" s="8">
        <f>('June 2024 YTD'!M127*2)*1.03</f>
        <v>0</v>
      </c>
      <c r="N127" s="8">
        <f>('June 2024 YTD'!N127*2)*1.03</f>
        <v>185.0086</v>
      </c>
      <c r="O127" s="8">
        <f>('June 2024 YTD'!O127*2)*1.03</f>
        <v>0</v>
      </c>
      <c r="P127" s="8">
        <f>('June 2024 YTD'!P127*2)*1.03</f>
        <v>0</v>
      </c>
      <c r="Q127" s="8">
        <f>('June 2024 YTD'!Q127*2)*1.03</f>
        <v>0</v>
      </c>
      <c r="R127" s="8">
        <f>('June 2024 YTD'!R127*2)*1.03</f>
        <v>0</v>
      </c>
      <c r="S127" s="8">
        <f>('June 2024 YTD'!S127*2)*1.03</f>
        <v>0</v>
      </c>
      <c r="T127" s="8">
        <f>('June 2024 YTD'!T127*2)*1.03</f>
        <v>0</v>
      </c>
      <c r="U127" s="8">
        <f>('June 2024 YTD'!U127*2)*1.03</f>
        <v>0</v>
      </c>
      <c r="V127" s="8">
        <f>('June 2024 YTD'!V127*2)*1.03</f>
        <v>0</v>
      </c>
      <c r="W127" s="8">
        <f>('June 2024 YTD'!W127*2)*1.03</f>
        <v>0</v>
      </c>
      <c r="X127" s="8">
        <f>('June 2024 YTD'!X127*2)*1.03</f>
        <v>0</v>
      </c>
      <c r="Y127" s="8">
        <f>('June 2024 YTD'!Y127*2)*1.03</f>
        <v>0</v>
      </c>
      <c r="Z127" s="8">
        <f>('June 2024 YTD'!Z127*2)*1.03</f>
        <v>0</v>
      </c>
      <c r="AA127" s="8">
        <f>('June 2024 YTD'!AA127*2)*1.03</f>
        <v>0</v>
      </c>
      <c r="AB127" s="8">
        <f>('June 2024 YTD'!AB127*2)*1.03</f>
        <v>0</v>
      </c>
      <c r="AC127" s="8">
        <f>('June 2024 YTD'!AC127*2)*1.03</f>
        <v>0</v>
      </c>
      <c r="AD127" s="8">
        <f>('June 2024 YTD'!AD127*2)*1.03</f>
        <v>0</v>
      </c>
      <c r="AE127" s="8">
        <v>0</v>
      </c>
      <c r="AF127" s="8">
        <f>('June 2024 YTD'!AE127*2)*1.03</f>
        <v>0</v>
      </c>
      <c r="AG127" s="8">
        <f>('June 2024 YTD'!AF127*2)*1.03</f>
        <v>0</v>
      </c>
      <c r="AH127" s="8">
        <f>('June 2024 YTD'!AG127*2)*1.03</f>
        <v>0</v>
      </c>
      <c r="AI127" s="8">
        <f>('June 2024 YTD'!AH127*2)*1.03</f>
        <v>0</v>
      </c>
      <c r="AJ127" s="88">
        <f>('June 2024 YTD'!AI127*2)*1.03</f>
        <v>0</v>
      </c>
      <c r="AK127" s="88">
        <f>('June 2024 YTD'!AJ127*2)*1.03</f>
        <v>0</v>
      </c>
      <c r="AL127" s="88">
        <f>('June 2024 YTD'!AK127*2)*1.03</f>
        <v>0</v>
      </c>
      <c r="AM127" s="88">
        <f>('June 2024 YTD'!AL127*2)*1.03</f>
        <v>0</v>
      </c>
      <c r="AN127" s="88">
        <f>('June 2024 YTD'!AM127*2)*1.03</f>
        <v>0</v>
      </c>
      <c r="AO127" s="88">
        <f>('June 2024 YTD'!AN127*2)*1.03</f>
        <v>0</v>
      </c>
      <c r="AP127" s="88">
        <f>('June 2024 YTD'!AO127*2)*1.03</f>
        <v>0</v>
      </c>
      <c r="AQ127" s="8">
        <f>('June 2024 YTD'!AP127*2)*1.03</f>
        <v>0</v>
      </c>
      <c r="AR127" s="8">
        <f>('June 2024 YTD'!AQ127*2)*1.03</f>
        <v>0</v>
      </c>
      <c r="AS127" s="88">
        <f>('June 2024 YTD'!AR127*2)*1.03</f>
        <v>0</v>
      </c>
      <c r="AT127" s="8">
        <f>('June 2024 YTD'!AS127*2)*1.03</f>
        <v>0</v>
      </c>
      <c r="AU127" s="88">
        <f>('June 2024 YTD'!AT127*2)*1.03</f>
        <v>0</v>
      </c>
      <c r="AV127" s="88">
        <f>('June 2024 YTD'!AU127*2)*1.03</f>
        <v>0</v>
      </c>
      <c r="AW127" s="8">
        <f>('June 2024 YTD'!AV127*2)*1.03</f>
        <v>0</v>
      </c>
      <c r="AX127" s="8">
        <f>('June 2024 YTD'!AW127*2)*1.03</f>
        <v>0</v>
      </c>
      <c r="AY127" s="88">
        <f>('June 2024 YTD'!AX127*2)*1.03</f>
        <v>0</v>
      </c>
      <c r="AZ127" s="8">
        <f>('June 2024 YTD'!AY127*2)*1.03</f>
        <v>0</v>
      </c>
      <c r="BA127" s="8">
        <f>('June 2024 YTD'!AZ127*2)*1.03</f>
        <v>0</v>
      </c>
      <c r="BB127" s="8">
        <f>('June 2024 YTD'!BA127*2)*1.03</f>
        <v>0</v>
      </c>
      <c r="BC127" s="88">
        <f>('June 2024 YTD'!BB127*2)*1.03</f>
        <v>0</v>
      </c>
      <c r="BD127" s="88">
        <f>('June 2024 YTD'!BC127*2)*1.03</f>
        <v>0</v>
      </c>
      <c r="BE127" s="88">
        <f>('June 2024 YTD'!BD127*2)*1.03</f>
        <v>0</v>
      </c>
      <c r="BF127" s="88">
        <f>('June 2024 YTD'!BE127*2)*1.03</f>
        <v>0</v>
      </c>
      <c r="BG127" s="8">
        <f>('June 2024 YTD'!BF127*2)*1.03</f>
        <v>0</v>
      </c>
      <c r="BH127" s="8">
        <f>('June 2024 YTD'!BG127*2)*1.03</f>
        <v>0</v>
      </c>
      <c r="BI127" s="8">
        <f>('June 2024 YTD'!BH127*2)*1.03</f>
        <v>0</v>
      </c>
      <c r="BJ127" s="8">
        <f>('June 2024 YTD'!BI127*2)*1.03</f>
        <v>0</v>
      </c>
      <c r="BK127" s="8">
        <f>('June 2024 YTD'!BJ127*2)*1.03</f>
        <v>0</v>
      </c>
      <c r="BL127" s="8">
        <f>('June 2024 YTD'!BK127*2)*1.03</f>
        <v>0</v>
      </c>
      <c r="BM127" s="8">
        <f>('June 2024 YTD'!BL127*2)*1.03</f>
        <v>0</v>
      </c>
      <c r="BN127" s="8">
        <f>('June 2024 YTD'!BM127*2)*1.03</f>
        <v>0</v>
      </c>
      <c r="BO127" s="8">
        <f>('June 2024 YTD'!BN127*2)*1.03</f>
        <v>0</v>
      </c>
      <c r="BP127" s="8">
        <f>('June 2024 YTD'!BO127*2)*1.03</f>
        <v>0</v>
      </c>
      <c r="BQ127" s="8">
        <f>('June 2024 YTD'!BP127*2)*1.03</f>
        <v>0</v>
      </c>
      <c r="BR127" s="8">
        <f>('June 2024 YTD'!BQ127*2)*1.03</f>
        <v>0</v>
      </c>
      <c r="BS127" s="8">
        <f>('June 2024 YTD'!BR127*2)*1.03</f>
        <v>0</v>
      </c>
      <c r="BT127" s="8">
        <f>('June 2024 YTD'!BS127*2)*1.03</f>
        <v>0</v>
      </c>
      <c r="BU127" s="8">
        <f>('June 2024 YTD'!BT127*2)*1.03</f>
        <v>0</v>
      </c>
      <c r="BV127" s="8">
        <f>('June 2024 YTD'!BU127*2)*1.03</f>
        <v>0</v>
      </c>
      <c r="BW127" s="8">
        <f>('June 2024 YTD'!BV127*2)*1.03</f>
        <v>0</v>
      </c>
      <c r="BX127" s="88">
        <f>('June 2024 YTD'!BW127*2)*1.03</f>
        <v>0</v>
      </c>
      <c r="BY127" s="88">
        <f>('June 2024 YTD'!BX127*2)*1.03</f>
        <v>0</v>
      </c>
      <c r="BZ127" s="88">
        <f>('June 2024 YTD'!BY127*2)*1.03</f>
        <v>0</v>
      </c>
      <c r="CA127" s="8">
        <f t="shared" si="134"/>
        <v>185.0086</v>
      </c>
      <c r="CB127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27" s="85" t="e">
        <f t="shared" si="126"/>
        <v>#REF!</v>
      </c>
    </row>
    <row r="128" spans="1:81">
      <c r="A128" s="78" t="s">
        <v>205</v>
      </c>
      <c r="B128" s="8">
        <v>0</v>
      </c>
      <c r="C128" s="8">
        <f>('June 2024 YTD'!C128*2)*1.03</f>
        <v>0</v>
      </c>
      <c r="D128" s="8">
        <f>('June 2024 YTD'!D128*2)*1.03</f>
        <v>0</v>
      </c>
      <c r="E128" s="8">
        <f>('June 2024 YTD'!E128*2)*1.03</f>
        <v>0</v>
      </c>
      <c r="F128" s="8">
        <f>('June 2024 YTD'!F128*2)*1.03</f>
        <v>0</v>
      </c>
      <c r="G128" s="8">
        <f>('June 2024 YTD'!G128*2)*1.03</f>
        <v>0</v>
      </c>
      <c r="H128" s="8">
        <f>('June 2024 YTD'!H128*2)*1.03</f>
        <v>0</v>
      </c>
      <c r="I128" s="8">
        <f>('June 2024 YTD'!I128*2)*1.03</f>
        <v>0</v>
      </c>
      <c r="J128" s="8">
        <f>('June 2024 YTD'!J128*2)*1.03</f>
        <v>0</v>
      </c>
      <c r="K128" s="8">
        <f>('June 2024 YTD'!K128*2)*1.03</f>
        <v>0</v>
      </c>
      <c r="L128" s="8">
        <f>('June 2024 YTD'!L128*2)*1.03</f>
        <v>0</v>
      </c>
      <c r="M128" s="8">
        <f>('June 2024 YTD'!M128*2)*1.03</f>
        <v>0</v>
      </c>
      <c r="N128" s="8">
        <f>('June 2024 YTD'!N128*2)*1.03</f>
        <v>2860.5365999999999</v>
      </c>
      <c r="O128" s="8">
        <f>('June 2024 YTD'!O128*2)*1.03</f>
        <v>0</v>
      </c>
      <c r="P128" s="8">
        <f>('June 2024 YTD'!P128*2)*1.03</f>
        <v>0</v>
      </c>
      <c r="Q128" s="8">
        <f>('June 2024 YTD'!Q128*2)*1.03</f>
        <v>0</v>
      </c>
      <c r="R128" s="8">
        <f>('June 2024 YTD'!R128*2)*1.03</f>
        <v>0</v>
      </c>
      <c r="S128" s="8">
        <f>('June 2024 YTD'!S128*2)*1.03</f>
        <v>0</v>
      </c>
      <c r="T128" s="8">
        <f>('June 2024 YTD'!T128*2)*1.03</f>
        <v>0</v>
      </c>
      <c r="U128" s="8">
        <f>('June 2024 YTD'!U128*2)*1.03</f>
        <v>0</v>
      </c>
      <c r="V128" s="8">
        <f>('June 2024 YTD'!V128*2)*1.03</f>
        <v>0</v>
      </c>
      <c r="W128" s="8">
        <f>('June 2024 YTD'!W128*2)*1.03</f>
        <v>0</v>
      </c>
      <c r="X128" s="8">
        <f>('June 2024 YTD'!X128*2)*1.03</f>
        <v>0</v>
      </c>
      <c r="Y128" s="8">
        <f>('June 2024 YTD'!Y128*2)*1.03</f>
        <v>0</v>
      </c>
      <c r="Z128" s="8">
        <f>('June 2024 YTD'!Z128*2)*1.03</f>
        <v>0</v>
      </c>
      <c r="AA128" s="8">
        <f>('June 2024 YTD'!AA128*2)*1.03</f>
        <v>0</v>
      </c>
      <c r="AB128" s="8">
        <f>('June 2024 YTD'!AB128*2)*1.03</f>
        <v>0</v>
      </c>
      <c r="AC128" s="8">
        <f>('June 2024 YTD'!AC128*2)*1.03</f>
        <v>0</v>
      </c>
      <c r="AD128" s="8">
        <f>('June 2024 YTD'!AD128*2)*1.03</f>
        <v>0</v>
      </c>
      <c r="AE128" s="8">
        <v>0</v>
      </c>
      <c r="AF128" s="8">
        <f>('June 2024 YTD'!AE128*2)*1.03</f>
        <v>0</v>
      </c>
      <c r="AG128" s="8">
        <f>('June 2024 YTD'!AF128*2)*1.03</f>
        <v>0</v>
      </c>
      <c r="AH128" s="8">
        <f>('June 2024 YTD'!AG128*2)*1.03</f>
        <v>0</v>
      </c>
      <c r="AI128" s="8">
        <f>('June 2024 YTD'!AH128*2)*1.03</f>
        <v>0</v>
      </c>
      <c r="AJ128" s="88">
        <f>('June 2024 YTD'!AI128*2)*1.03</f>
        <v>0</v>
      </c>
      <c r="AK128" s="88">
        <f>('June 2024 YTD'!AJ128*2)*1.03</f>
        <v>0</v>
      </c>
      <c r="AL128" s="88">
        <f>('June 2024 YTD'!AK128*2)*1.03</f>
        <v>0</v>
      </c>
      <c r="AM128" s="88">
        <f>('June 2024 YTD'!AL128*2)*1.03</f>
        <v>0</v>
      </c>
      <c r="AN128" s="88">
        <f>('June 2024 YTD'!AM128*2)*1.03</f>
        <v>0</v>
      </c>
      <c r="AO128" s="88">
        <f>('June 2024 YTD'!AN128*2)*1.03</f>
        <v>0</v>
      </c>
      <c r="AP128" s="88">
        <f>('June 2024 YTD'!AO128*2)*1.03</f>
        <v>0</v>
      </c>
      <c r="AQ128" s="8">
        <f>('June 2024 YTD'!AP128*2)*1.03</f>
        <v>0</v>
      </c>
      <c r="AR128" s="8">
        <f>('June 2024 YTD'!AQ128*2)*1.03</f>
        <v>0</v>
      </c>
      <c r="AS128" s="88">
        <f>('June 2024 YTD'!AR128*2)*1.03</f>
        <v>0</v>
      </c>
      <c r="AT128" s="8">
        <f>('June 2024 YTD'!AS128*2)*1.03</f>
        <v>0</v>
      </c>
      <c r="AU128" s="88">
        <f>('June 2024 YTD'!AT128*2)*1.03</f>
        <v>0</v>
      </c>
      <c r="AV128" s="88">
        <f>('June 2024 YTD'!AU128*2)*1.03</f>
        <v>0</v>
      </c>
      <c r="AW128" s="8">
        <f>('June 2024 YTD'!AV128*2)*1.03</f>
        <v>0</v>
      </c>
      <c r="AX128" s="8">
        <f>('June 2024 YTD'!AW128*2)*1.03</f>
        <v>0</v>
      </c>
      <c r="AY128" s="88">
        <f>('June 2024 YTD'!AX128*2)*1.03</f>
        <v>0</v>
      </c>
      <c r="AZ128" s="8">
        <f>('June 2024 YTD'!AY128*2)*1.03</f>
        <v>0</v>
      </c>
      <c r="BA128" s="8">
        <f>('June 2024 YTD'!AZ128*2)*1.03</f>
        <v>0</v>
      </c>
      <c r="BB128" s="8">
        <f>('June 2024 YTD'!BA128*2)*1.03</f>
        <v>0</v>
      </c>
      <c r="BC128" s="88">
        <f>('June 2024 YTD'!BB128*2)*1.03</f>
        <v>0</v>
      </c>
      <c r="BD128" s="88">
        <f>('June 2024 YTD'!BC128*2)*1.03</f>
        <v>0</v>
      </c>
      <c r="BE128" s="88">
        <f>('June 2024 YTD'!BD128*2)*1.03</f>
        <v>0</v>
      </c>
      <c r="BF128" s="88">
        <f>('June 2024 YTD'!BE128*2)*1.03</f>
        <v>0</v>
      </c>
      <c r="BG128" s="8">
        <f>('June 2024 YTD'!BF128*2)*1.03</f>
        <v>0</v>
      </c>
      <c r="BH128" s="8">
        <f>('June 2024 YTD'!BG128*2)*1.03</f>
        <v>0</v>
      </c>
      <c r="BI128" s="8">
        <f>('June 2024 YTD'!BH128*2)*1.03</f>
        <v>0</v>
      </c>
      <c r="BJ128" s="8">
        <f>('June 2024 YTD'!BI128*2)*1.03</f>
        <v>0</v>
      </c>
      <c r="BK128" s="8">
        <f>('June 2024 YTD'!BJ128*2)*1.03</f>
        <v>0</v>
      </c>
      <c r="BL128" s="8">
        <f>('June 2024 YTD'!BK128*2)*1.03</f>
        <v>0</v>
      </c>
      <c r="BM128" s="8">
        <f>('June 2024 YTD'!BL128*2)*1.03</f>
        <v>0</v>
      </c>
      <c r="BN128" s="8">
        <f>('June 2024 YTD'!BM128*2)*1.03</f>
        <v>0</v>
      </c>
      <c r="BO128" s="8">
        <f>('June 2024 YTD'!BN128*2)*1.03</f>
        <v>0</v>
      </c>
      <c r="BP128" s="8">
        <f>('June 2024 YTD'!BO128*2)*1.03</f>
        <v>0</v>
      </c>
      <c r="BQ128" s="8">
        <f>('June 2024 YTD'!BP128*2)*1.03</f>
        <v>0</v>
      </c>
      <c r="BR128" s="8">
        <f>('June 2024 YTD'!BQ128*2)*1.03</f>
        <v>0</v>
      </c>
      <c r="BS128" s="8">
        <f>('June 2024 YTD'!BR128*2)*1.03</f>
        <v>0</v>
      </c>
      <c r="BT128" s="8">
        <f>('June 2024 YTD'!BS128*2)*1.03</f>
        <v>0</v>
      </c>
      <c r="BU128" s="8">
        <f>('June 2024 YTD'!BT128*2)*1.03</f>
        <v>0</v>
      </c>
      <c r="BV128" s="8">
        <f>('June 2024 YTD'!BU128*2)*1.03</f>
        <v>0</v>
      </c>
      <c r="BW128" s="8">
        <f>('June 2024 YTD'!BV128*2)*1.03</f>
        <v>0</v>
      </c>
      <c r="BX128" s="88">
        <f>('June 2024 YTD'!BW128*2)*1.03</f>
        <v>0</v>
      </c>
      <c r="BY128" s="88">
        <f>('June 2024 YTD'!BX128*2)*1.03</f>
        <v>0</v>
      </c>
      <c r="BZ128" s="88">
        <f>('June 2024 YTD'!BY128*2)*1.03</f>
        <v>0</v>
      </c>
      <c r="CA128" s="8">
        <f t="shared" si="134"/>
        <v>2860.5365999999999</v>
      </c>
      <c r="CB128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28" s="85" t="e">
        <f t="shared" si="126"/>
        <v>#REF!</v>
      </c>
    </row>
    <row r="129" spans="1:81">
      <c r="A129" s="78" t="s">
        <v>206</v>
      </c>
      <c r="B129" s="8">
        <v>0</v>
      </c>
      <c r="C129" s="8">
        <f>('June 2024 YTD'!C129*2)*1.03</f>
        <v>0</v>
      </c>
      <c r="D129" s="8">
        <f>('June 2024 YTD'!D129*2)*1.03</f>
        <v>0</v>
      </c>
      <c r="E129" s="8">
        <f>('June 2024 YTD'!E129*2)*1.03</f>
        <v>0</v>
      </c>
      <c r="F129" s="8">
        <f>('June 2024 YTD'!F129*2)*1.03</f>
        <v>0</v>
      </c>
      <c r="G129" s="8">
        <f>('June 2024 YTD'!G129*2)*1.03</f>
        <v>0</v>
      </c>
      <c r="H129" s="8">
        <f>('June 2024 YTD'!H129*2)*1.03</f>
        <v>0</v>
      </c>
      <c r="I129" s="8">
        <f>('June 2024 YTD'!I129*2)*1.03</f>
        <v>0</v>
      </c>
      <c r="J129" s="8">
        <f>('June 2024 YTD'!J129*2)*1.03</f>
        <v>0</v>
      </c>
      <c r="K129" s="8">
        <f>('June 2024 YTD'!K129*2)*1.03</f>
        <v>0</v>
      </c>
      <c r="L129" s="8">
        <f>('June 2024 YTD'!L129*2)*1.03</f>
        <v>0</v>
      </c>
      <c r="M129" s="8">
        <f>('June 2024 YTD'!M129*2)*1.03</f>
        <v>0</v>
      </c>
      <c r="N129" s="8">
        <f>('June 2024 YTD'!N129*2)*1.03</f>
        <v>1568.7518</v>
      </c>
      <c r="O129" s="8">
        <f>('June 2024 YTD'!O129*2)*1.03</f>
        <v>0</v>
      </c>
      <c r="P129" s="8">
        <f>('June 2024 YTD'!P129*2)*1.03</f>
        <v>0</v>
      </c>
      <c r="Q129" s="8">
        <f>('June 2024 YTD'!Q129*2)*1.03</f>
        <v>0</v>
      </c>
      <c r="R129" s="8">
        <f>('June 2024 YTD'!R129*2)*1.03</f>
        <v>0</v>
      </c>
      <c r="S129" s="8">
        <f>('June 2024 YTD'!S129*2)*1.03</f>
        <v>0</v>
      </c>
      <c r="T129" s="8">
        <f>('June 2024 YTD'!T129*2)*1.03</f>
        <v>0</v>
      </c>
      <c r="U129" s="8">
        <f>('June 2024 YTD'!U129*2)*1.03</f>
        <v>0</v>
      </c>
      <c r="V129" s="8">
        <f>('June 2024 YTD'!V129*2)*1.03</f>
        <v>0</v>
      </c>
      <c r="W129" s="8">
        <f>('June 2024 YTD'!W129*2)*1.03</f>
        <v>0</v>
      </c>
      <c r="X129" s="8">
        <f>('June 2024 YTD'!X129*2)*1.03</f>
        <v>0</v>
      </c>
      <c r="Y129" s="8">
        <f>('June 2024 YTD'!Y129*2)*1.03</f>
        <v>0</v>
      </c>
      <c r="Z129" s="8">
        <f>('June 2024 YTD'!Z129*2)*1.03</f>
        <v>0</v>
      </c>
      <c r="AA129" s="8">
        <f>('June 2024 YTD'!AA129*2)*1.03</f>
        <v>0</v>
      </c>
      <c r="AB129" s="8">
        <f>('June 2024 YTD'!AB129*2)*1.03</f>
        <v>0</v>
      </c>
      <c r="AC129" s="8">
        <f>('June 2024 YTD'!AC129*2)*1.03</f>
        <v>0</v>
      </c>
      <c r="AD129" s="8">
        <f>('June 2024 YTD'!AD129*2)*1.03</f>
        <v>0</v>
      </c>
      <c r="AE129" s="8">
        <v>0</v>
      </c>
      <c r="AF129" s="8">
        <f>('June 2024 YTD'!AE129*2)*1.03</f>
        <v>0</v>
      </c>
      <c r="AG129" s="8">
        <f>('June 2024 YTD'!AF129*2)*1.03</f>
        <v>0</v>
      </c>
      <c r="AH129" s="8">
        <f>('June 2024 YTD'!AG129*2)*1.03</f>
        <v>0</v>
      </c>
      <c r="AI129" s="8">
        <f>('June 2024 YTD'!AH129*2)*1.03</f>
        <v>0</v>
      </c>
      <c r="AJ129" s="88">
        <f>('June 2024 YTD'!AI129*2)*1.03</f>
        <v>0</v>
      </c>
      <c r="AK129" s="88">
        <f>('June 2024 YTD'!AJ129*2)*1.03</f>
        <v>0</v>
      </c>
      <c r="AL129" s="88">
        <f>('June 2024 YTD'!AK129*2)*1.03</f>
        <v>0</v>
      </c>
      <c r="AM129" s="88">
        <f>('June 2024 YTD'!AL129*2)*1.03</f>
        <v>0</v>
      </c>
      <c r="AN129" s="88">
        <f>('June 2024 YTD'!AM129*2)*1.03</f>
        <v>0</v>
      </c>
      <c r="AO129" s="88">
        <f>('June 2024 YTD'!AN129*2)*1.03</f>
        <v>0</v>
      </c>
      <c r="AP129" s="88">
        <f>('June 2024 YTD'!AO129*2)*1.03</f>
        <v>0</v>
      </c>
      <c r="AQ129" s="8">
        <f>('June 2024 YTD'!AP129*2)*1.03</f>
        <v>0</v>
      </c>
      <c r="AR129" s="8">
        <f>('June 2024 YTD'!AQ129*2)*1.03</f>
        <v>0</v>
      </c>
      <c r="AS129" s="88">
        <f>('June 2024 YTD'!AR129*2)*1.03</f>
        <v>0</v>
      </c>
      <c r="AT129" s="8">
        <f>('June 2024 YTD'!AS129*2)*1.03</f>
        <v>0</v>
      </c>
      <c r="AU129" s="88">
        <f>('June 2024 YTD'!AT129*2)*1.03</f>
        <v>0</v>
      </c>
      <c r="AV129" s="88">
        <f>('June 2024 YTD'!AU129*2)*1.03</f>
        <v>0</v>
      </c>
      <c r="AW129" s="8">
        <f>('June 2024 YTD'!AV129*2)*1.03</f>
        <v>0</v>
      </c>
      <c r="AX129" s="8">
        <f>('June 2024 YTD'!AW129*2)*1.03</f>
        <v>0</v>
      </c>
      <c r="AY129" s="88">
        <f>('June 2024 YTD'!AX129*2)*1.03</f>
        <v>0</v>
      </c>
      <c r="AZ129" s="8">
        <f>('June 2024 YTD'!AY129*2)*1.03</f>
        <v>0</v>
      </c>
      <c r="BA129" s="8">
        <f>('June 2024 YTD'!AZ129*2)*1.03</f>
        <v>0</v>
      </c>
      <c r="BB129" s="8">
        <f>('June 2024 YTD'!BA129*2)*1.03</f>
        <v>0</v>
      </c>
      <c r="BC129" s="88">
        <f>('June 2024 YTD'!BB129*2)*1.03</f>
        <v>0</v>
      </c>
      <c r="BD129" s="88">
        <f>('June 2024 YTD'!BC129*2)*1.03</f>
        <v>0</v>
      </c>
      <c r="BE129" s="88">
        <f>('June 2024 YTD'!BD129*2)*1.03</f>
        <v>0</v>
      </c>
      <c r="BF129" s="88">
        <f>('June 2024 YTD'!BE129*2)*1.03</f>
        <v>0</v>
      </c>
      <c r="BG129" s="8">
        <f>('June 2024 YTD'!BF129*2)*1.03</f>
        <v>0</v>
      </c>
      <c r="BH129" s="8">
        <f>('June 2024 YTD'!BG129*2)*1.03</f>
        <v>0</v>
      </c>
      <c r="BI129" s="8">
        <f>('June 2024 YTD'!BH129*2)*1.03</f>
        <v>0</v>
      </c>
      <c r="BJ129" s="8">
        <f>('June 2024 YTD'!BI129*2)*1.03</f>
        <v>0</v>
      </c>
      <c r="BK129" s="8">
        <f>('June 2024 YTD'!BJ129*2)*1.03</f>
        <v>0</v>
      </c>
      <c r="BL129" s="8">
        <f>('June 2024 YTD'!BK129*2)*1.03</f>
        <v>0</v>
      </c>
      <c r="BM129" s="8">
        <f>('June 2024 YTD'!BL129*2)*1.03</f>
        <v>0</v>
      </c>
      <c r="BN129" s="8">
        <f>('June 2024 YTD'!BM129*2)*1.03</f>
        <v>0</v>
      </c>
      <c r="BO129" s="8">
        <f>('June 2024 YTD'!BN129*2)*1.03</f>
        <v>0</v>
      </c>
      <c r="BP129" s="8">
        <f>('June 2024 YTD'!BO129*2)*1.03</f>
        <v>0</v>
      </c>
      <c r="BQ129" s="8">
        <f>('June 2024 YTD'!BP129*2)*1.03</f>
        <v>0</v>
      </c>
      <c r="BR129" s="8">
        <f>('June 2024 YTD'!BQ129*2)*1.03</f>
        <v>0</v>
      </c>
      <c r="BS129" s="8">
        <f>('June 2024 YTD'!BR129*2)*1.03</f>
        <v>0</v>
      </c>
      <c r="BT129" s="8">
        <f>('June 2024 YTD'!BS129*2)*1.03</f>
        <v>0</v>
      </c>
      <c r="BU129" s="8">
        <f>('June 2024 YTD'!BT129*2)*1.03</f>
        <v>0</v>
      </c>
      <c r="BV129" s="8">
        <f>('June 2024 YTD'!BU129*2)*1.03</f>
        <v>0</v>
      </c>
      <c r="BW129" s="8">
        <f>('June 2024 YTD'!BV129*2)*1.03</f>
        <v>0</v>
      </c>
      <c r="BX129" s="88">
        <f>('June 2024 YTD'!BW129*2)*1.03</f>
        <v>0</v>
      </c>
      <c r="BY129" s="88">
        <f>('June 2024 YTD'!BX129*2)*1.03</f>
        <v>0</v>
      </c>
      <c r="BZ129" s="88">
        <f>('June 2024 YTD'!BY129*2)*1.03</f>
        <v>0</v>
      </c>
      <c r="CA129" s="8">
        <f t="shared" si="134"/>
        <v>1568.7518</v>
      </c>
      <c r="CB129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29" s="85" t="e">
        <f t="shared" si="126"/>
        <v>#REF!</v>
      </c>
    </row>
    <row r="130" spans="1:81">
      <c r="A130" s="78" t="s">
        <v>207</v>
      </c>
      <c r="B130" s="8">
        <v>0</v>
      </c>
      <c r="C130" s="8">
        <f>('June 2024 YTD'!C130*2)*1.03</f>
        <v>0</v>
      </c>
      <c r="D130" s="8">
        <f>('June 2024 YTD'!D130*2)*1.03</f>
        <v>0</v>
      </c>
      <c r="E130" s="8">
        <f>('June 2024 YTD'!E130*2)*1.03</f>
        <v>0</v>
      </c>
      <c r="F130" s="8">
        <f>('June 2024 YTD'!F130*2)*1.03</f>
        <v>0</v>
      </c>
      <c r="G130" s="8">
        <f>('June 2024 YTD'!G130*2)*1.03</f>
        <v>0</v>
      </c>
      <c r="H130" s="8">
        <f>('June 2024 YTD'!H130*2)*1.03</f>
        <v>0</v>
      </c>
      <c r="I130" s="8">
        <f>('June 2024 YTD'!I130*2)*1.03</f>
        <v>0</v>
      </c>
      <c r="J130" s="8">
        <f>('June 2024 YTD'!J130*2)*1.03</f>
        <v>0</v>
      </c>
      <c r="K130" s="8">
        <f>('June 2024 YTD'!K130*2)*1.03</f>
        <v>0</v>
      </c>
      <c r="L130" s="8">
        <f>('June 2024 YTD'!L130*2)*1.03</f>
        <v>0</v>
      </c>
      <c r="M130" s="8">
        <f>('June 2024 YTD'!M130*2)*1.03</f>
        <v>0</v>
      </c>
      <c r="N130" s="8">
        <f>('June 2024 YTD'!N130*2)*1.03</f>
        <v>0</v>
      </c>
      <c r="O130" s="8">
        <f>('June 2024 YTD'!O130*2)*1.03</f>
        <v>0</v>
      </c>
      <c r="P130" s="8">
        <f>('June 2024 YTD'!P130*2)*1.03</f>
        <v>0</v>
      </c>
      <c r="Q130" s="8">
        <f>('June 2024 YTD'!Q130*2)*1.03</f>
        <v>0</v>
      </c>
      <c r="R130" s="8">
        <f>('June 2024 YTD'!R130*2)*1.03</f>
        <v>0</v>
      </c>
      <c r="S130" s="8">
        <f>('June 2024 YTD'!S130*2)*1.03</f>
        <v>0</v>
      </c>
      <c r="T130" s="8">
        <f>('June 2024 YTD'!T130*2)*1.03</f>
        <v>0</v>
      </c>
      <c r="U130" s="8">
        <f>('June 2024 YTD'!U130*2)*1.03</f>
        <v>0</v>
      </c>
      <c r="V130" s="8">
        <f>('June 2024 YTD'!V130*2)*1.03</f>
        <v>0</v>
      </c>
      <c r="W130" s="8">
        <f>('June 2024 YTD'!W130*2)*1.03</f>
        <v>0</v>
      </c>
      <c r="X130" s="8">
        <f>('June 2024 YTD'!X130*2)*1.03</f>
        <v>0</v>
      </c>
      <c r="Y130" s="8">
        <f>('June 2024 YTD'!Y130*2)*1.03</f>
        <v>0</v>
      </c>
      <c r="Z130" s="8">
        <f>('June 2024 YTD'!Z130*2)*1.03</f>
        <v>0</v>
      </c>
      <c r="AA130" s="8">
        <f>('June 2024 YTD'!AA130*2)*1.03</f>
        <v>0</v>
      </c>
      <c r="AB130" s="8">
        <f>('June 2024 YTD'!AB130*2)*1.03</f>
        <v>0</v>
      </c>
      <c r="AC130" s="8">
        <f>('June 2024 YTD'!AC130*2)*1.03</f>
        <v>0</v>
      </c>
      <c r="AD130" s="8">
        <f>('June 2024 YTD'!AD130*2)*1.03</f>
        <v>0</v>
      </c>
      <c r="AE130" s="8">
        <v>0</v>
      </c>
      <c r="AF130" s="8">
        <f>('June 2024 YTD'!AE130*2)*1.03</f>
        <v>0</v>
      </c>
      <c r="AG130" s="8">
        <f>('June 2024 YTD'!AF130*2)*1.03</f>
        <v>0</v>
      </c>
      <c r="AH130" s="8">
        <f>('June 2024 YTD'!AG130*2)*1.03</f>
        <v>0</v>
      </c>
      <c r="AI130" s="8">
        <f>('June 2024 YTD'!AH130*2)*1.03</f>
        <v>0</v>
      </c>
      <c r="AJ130" s="88">
        <f>('June 2024 YTD'!AI130*2)*1.03</f>
        <v>0</v>
      </c>
      <c r="AK130" s="88">
        <f>('June 2024 YTD'!AJ130*2)*1.03</f>
        <v>0</v>
      </c>
      <c r="AL130" s="88">
        <f>('June 2024 YTD'!AK130*2)*1.03</f>
        <v>0</v>
      </c>
      <c r="AM130" s="88">
        <f>('June 2024 YTD'!AL130*2)*1.03</f>
        <v>0</v>
      </c>
      <c r="AN130" s="88">
        <f>('June 2024 YTD'!AM130*2)*1.03</f>
        <v>0</v>
      </c>
      <c r="AO130" s="88">
        <f>('June 2024 YTD'!AN130*2)*1.03</f>
        <v>0</v>
      </c>
      <c r="AP130" s="88">
        <f>('June 2024 YTD'!AO130*2)*1.03</f>
        <v>0</v>
      </c>
      <c r="AQ130" s="8">
        <f>('June 2024 YTD'!AP130*2)*1.03</f>
        <v>0</v>
      </c>
      <c r="AR130" s="8">
        <f>('June 2024 YTD'!AQ130*2)*1.03</f>
        <v>24512.6198</v>
      </c>
      <c r="AS130" s="88">
        <f>('June 2024 YTD'!AR130*2)*1.03</f>
        <v>0</v>
      </c>
      <c r="AT130" s="8">
        <f>('June 2024 YTD'!AS130*2)*1.03</f>
        <v>0</v>
      </c>
      <c r="AU130" s="88">
        <f>('June 2024 YTD'!AT130*2)*1.03</f>
        <v>0</v>
      </c>
      <c r="AV130" s="88">
        <f>('June 2024 YTD'!AU130*2)*1.03</f>
        <v>0</v>
      </c>
      <c r="AW130" s="8">
        <f>('June 2024 YTD'!AV130*2)*1.03</f>
        <v>0</v>
      </c>
      <c r="AX130" s="8">
        <f>('June 2024 YTD'!AW130*2)*1.03</f>
        <v>0</v>
      </c>
      <c r="AY130" s="88">
        <f>('June 2024 YTD'!AX130*2)*1.03</f>
        <v>0</v>
      </c>
      <c r="AZ130" s="8">
        <f>('June 2024 YTD'!AY130*2)*1.03</f>
        <v>0</v>
      </c>
      <c r="BA130" s="8">
        <f>('June 2024 YTD'!AZ130*2)*1.03</f>
        <v>0</v>
      </c>
      <c r="BB130" s="8">
        <f>('June 2024 YTD'!BA130*2)*1.03</f>
        <v>0</v>
      </c>
      <c r="BC130" s="88">
        <f>('June 2024 YTD'!BB130*2)*1.03</f>
        <v>0</v>
      </c>
      <c r="BD130" s="88">
        <f>('June 2024 YTD'!BC130*2)*1.03</f>
        <v>0</v>
      </c>
      <c r="BE130" s="88">
        <f>('June 2024 YTD'!BD130*2)*1.03</f>
        <v>0</v>
      </c>
      <c r="BF130" s="88">
        <f>('June 2024 YTD'!BE130*2)*1.03</f>
        <v>0</v>
      </c>
      <c r="BG130" s="8">
        <f>('June 2024 YTD'!BF130*2)*1.03</f>
        <v>0</v>
      </c>
      <c r="BH130" s="8">
        <f>('June 2024 YTD'!BG130*2)*1.03</f>
        <v>0</v>
      </c>
      <c r="BI130" s="8">
        <f>('June 2024 YTD'!BH130*2)*1.03</f>
        <v>0</v>
      </c>
      <c r="BJ130" s="8">
        <f>('June 2024 YTD'!BI130*2)*1.03</f>
        <v>0</v>
      </c>
      <c r="BK130" s="8">
        <f>('June 2024 YTD'!BJ130*2)*1.03</f>
        <v>0</v>
      </c>
      <c r="BL130" s="8">
        <f>('June 2024 YTD'!BK130*2)*1.03</f>
        <v>0</v>
      </c>
      <c r="BM130" s="8">
        <f>('June 2024 YTD'!BL130*2)*1.03</f>
        <v>0</v>
      </c>
      <c r="BN130" s="8">
        <f>('June 2024 YTD'!BM130*2)*1.03</f>
        <v>0</v>
      </c>
      <c r="BO130" s="8">
        <f>('June 2024 YTD'!BN130*2)*1.03</f>
        <v>0</v>
      </c>
      <c r="BP130" s="8">
        <f>('June 2024 YTD'!BO130*2)*1.03</f>
        <v>0</v>
      </c>
      <c r="BQ130" s="8">
        <f>('June 2024 YTD'!BP130*2)*1.03</f>
        <v>0</v>
      </c>
      <c r="BR130" s="8">
        <f>('June 2024 YTD'!BQ130*2)*1.03</f>
        <v>0</v>
      </c>
      <c r="BS130" s="8">
        <f>('June 2024 YTD'!BR130*2)*1.03</f>
        <v>0</v>
      </c>
      <c r="BT130" s="8">
        <f>('June 2024 YTD'!BS130*2)*1.03</f>
        <v>0</v>
      </c>
      <c r="BU130" s="8">
        <f>('June 2024 YTD'!BT130*2)*1.03</f>
        <v>0</v>
      </c>
      <c r="BV130" s="8">
        <f>('June 2024 YTD'!BU130*2)*1.03</f>
        <v>0</v>
      </c>
      <c r="BW130" s="8">
        <f>('June 2024 YTD'!BV130*2)*1.03</f>
        <v>0</v>
      </c>
      <c r="BX130" s="88">
        <f>('June 2024 YTD'!BW130*2)*1.03</f>
        <v>0</v>
      </c>
      <c r="BY130" s="88">
        <f>('June 2024 YTD'!BX130*2)*1.03</f>
        <v>0</v>
      </c>
      <c r="BZ130" s="88">
        <f>('June 2024 YTD'!BY130*2)*1.03</f>
        <v>0</v>
      </c>
      <c r="CA130" s="8">
        <f t="shared" si="134"/>
        <v>24512.6198</v>
      </c>
      <c r="CB130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30" s="85" t="e">
        <f t="shared" si="126"/>
        <v>#REF!</v>
      </c>
    </row>
    <row r="131" spans="1:81">
      <c r="A131" s="78" t="s">
        <v>208</v>
      </c>
      <c r="B131" s="8">
        <v>0</v>
      </c>
      <c r="C131" s="8">
        <f>('June 2024 YTD'!C131*2)*1.03</f>
        <v>0</v>
      </c>
      <c r="D131" s="8">
        <f>('June 2024 YTD'!D131*2)*1.03</f>
        <v>0</v>
      </c>
      <c r="E131" s="8">
        <f>('June 2024 YTD'!E131*2)*1.03</f>
        <v>0</v>
      </c>
      <c r="F131" s="8">
        <f>('June 2024 YTD'!F131*2)*1.03</f>
        <v>0</v>
      </c>
      <c r="G131" s="8">
        <f>('June 2024 YTD'!G131*2)*1.03</f>
        <v>0</v>
      </c>
      <c r="H131" s="8">
        <f>('June 2024 YTD'!H131*2)*1.03</f>
        <v>0</v>
      </c>
      <c r="I131" s="8">
        <f>('June 2024 YTD'!I131*2)*1.03</f>
        <v>0</v>
      </c>
      <c r="J131" s="8">
        <f>('June 2024 YTD'!J131*2)*1.03</f>
        <v>0</v>
      </c>
      <c r="K131" s="8">
        <f>('June 2024 YTD'!K131*2)*1.03</f>
        <v>0</v>
      </c>
      <c r="L131" s="8">
        <f>('June 2024 YTD'!L131*2)*1.03</f>
        <v>0</v>
      </c>
      <c r="M131" s="8">
        <f>('June 2024 YTD'!M131*2)*1.03</f>
        <v>0</v>
      </c>
      <c r="N131" s="8">
        <f>('June 2024 YTD'!N131*2)*1.03</f>
        <v>0</v>
      </c>
      <c r="O131" s="8">
        <f>('June 2024 YTD'!O131*2)*1.03</f>
        <v>0</v>
      </c>
      <c r="P131" s="8">
        <f>('June 2024 YTD'!P131*2)*1.03</f>
        <v>0</v>
      </c>
      <c r="Q131" s="8">
        <f>('June 2024 YTD'!Q131*2)*1.03</f>
        <v>0</v>
      </c>
      <c r="R131" s="8">
        <f>('June 2024 YTD'!R131*2)*1.03</f>
        <v>0</v>
      </c>
      <c r="S131" s="8">
        <f>('June 2024 YTD'!S131*2)*1.03</f>
        <v>0</v>
      </c>
      <c r="T131" s="8">
        <f>('June 2024 YTD'!T131*2)*1.03</f>
        <v>0</v>
      </c>
      <c r="U131" s="8">
        <f>('June 2024 YTD'!U131*2)*1.03</f>
        <v>0</v>
      </c>
      <c r="V131" s="8">
        <f>('June 2024 YTD'!V131*2)*1.03</f>
        <v>0</v>
      </c>
      <c r="W131" s="8">
        <f>('June 2024 YTD'!W131*2)*1.03</f>
        <v>0</v>
      </c>
      <c r="X131" s="8">
        <f>('June 2024 YTD'!X131*2)*1.03</f>
        <v>0</v>
      </c>
      <c r="Y131" s="8">
        <f>('June 2024 YTD'!Y131*2)*1.03</f>
        <v>0</v>
      </c>
      <c r="Z131" s="8">
        <f>('June 2024 YTD'!Z131*2)*1.03</f>
        <v>0</v>
      </c>
      <c r="AA131" s="8">
        <f>('June 2024 YTD'!AA131*2)*1.03</f>
        <v>0</v>
      </c>
      <c r="AB131" s="8">
        <f>('June 2024 YTD'!AB131*2)*1.03</f>
        <v>0</v>
      </c>
      <c r="AC131" s="8">
        <f>('June 2024 YTD'!AC131*2)*1.03</f>
        <v>0</v>
      </c>
      <c r="AD131" s="8">
        <f>('June 2024 YTD'!AD131*2)*1.03</f>
        <v>0</v>
      </c>
      <c r="AE131" s="8">
        <v>0</v>
      </c>
      <c r="AF131" s="8">
        <f>('June 2024 YTD'!AE131*2)*1.03</f>
        <v>0</v>
      </c>
      <c r="AG131" s="8">
        <f>('June 2024 YTD'!AF131*2)*1.03</f>
        <v>175.2236</v>
      </c>
      <c r="AH131" s="8">
        <f>('June 2024 YTD'!AG131*2)*1.03</f>
        <v>126.87540000000001</v>
      </c>
      <c r="AI131" s="8">
        <f>('June 2024 YTD'!AH131*2)*1.03</f>
        <v>0</v>
      </c>
      <c r="AJ131" s="88">
        <f>('June 2024 YTD'!AI131*2)*1.03</f>
        <v>0</v>
      </c>
      <c r="AK131" s="88">
        <f>('June 2024 YTD'!AJ131*2)*1.03</f>
        <v>0</v>
      </c>
      <c r="AL131" s="88">
        <f>('June 2024 YTD'!AK131*2)*1.03</f>
        <v>0</v>
      </c>
      <c r="AM131" s="88">
        <f>('June 2024 YTD'!AL131*2)*1.03</f>
        <v>0</v>
      </c>
      <c r="AN131" s="88">
        <f>('June 2024 YTD'!AM131*2)*1.03</f>
        <v>0</v>
      </c>
      <c r="AO131" s="88">
        <f>('June 2024 YTD'!AN131*2)*1.03</f>
        <v>0</v>
      </c>
      <c r="AP131" s="88">
        <f>('June 2024 YTD'!AO131*2)*1.03</f>
        <v>0</v>
      </c>
      <c r="AQ131" s="8">
        <f>('June 2024 YTD'!AP131*2)*1.03</f>
        <v>0</v>
      </c>
      <c r="AR131" s="8">
        <f>('June 2024 YTD'!AQ131*2)*1.03</f>
        <v>0</v>
      </c>
      <c r="AS131" s="88">
        <f>('June 2024 YTD'!AR131*2)*1.03</f>
        <v>0</v>
      </c>
      <c r="AT131" s="8">
        <f>('June 2024 YTD'!AS131*2)*1.03</f>
        <v>0</v>
      </c>
      <c r="AU131" s="88">
        <f>('June 2024 YTD'!AT131*2)*1.03</f>
        <v>0</v>
      </c>
      <c r="AV131" s="88">
        <f>('June 2024 YTD'!AU131*2)*1.03</f>
        <v>0</v>
      </c>
      <c r="AW131" s="8">
        <f>('June 2024 YTD'!AV131*2)*1.03</f>
        <v>0</v>
      </c>
      <c r="AX131" s="8">
        <f>('June 2024 YTD'!AW131*2)*1.03</f>
        <v>0</v>
      </c>
      <c r="AY131" s="88">
        <f>('June 2024 YTD'!AX131*2)*1.03</f>
        <v>0</v>
      </c>
      <c r="AZ131" s="8">
        <f>('June 2024 YTD'!AY131*2)*1.03</f>
        <v>0</v>
      </c>
      <c r="BA131" s="8">
        <f>('June 2024 YTD'!AZ131*2)*1.03</f>
        <v>0</v>
      </c>
      <c r="BB131" s="8">
        <f>('June 2024 YTD'!BA131*2)*1.03</f>
        <v>0</v>
      </c>
      <c r="BC131" s="88">
        <f>('June 2024 YTD'!BB131*2)*1.03</f>
        <v>0</v>
      </c>
      <c r="BD131" s="88">
        <f>('June 2024 YTD'!BC131*2)*1.03</f>
        <v>0</v>
      </c>
      <c r="BE131" s="88">
        <f>('June 2024 YTD'!BD131*2)*1.03</f>
        <v>0</v>
      </c>
      <c r="BF131" s="88">
        <f>('June 2024 YTD'!BE131*2)*1.03</f>
        <v>0</v>
      </c>
      <c r="BG131" s="8">
        <f>('June 2024 YTD'!BF131*2)*1.03</f>
        <v>0</v>
      </c>
      <c r="BH131" s="8">
        <f>('June 2024 YTD'!BG131*2)*1.03</f>
        <v>0</v>
      </c>
      <c r="BI131" s="8">
        <f>('June 2024 YTD'!BH131*2)*1.03</f>
        <v>0</v>
      </c>
      <c r="BJ131" s="8">
        <f>('June 2024 YTD'!BI131*2)*1.03</f>
        <v>0</v>
      </c>
      <c r="BK131" s="8">
        <f>('June 2024 YTD'!BJ131*2)*1.03</f>
        <v>0</v>
      </c>
      <c r="BL131" s="8">
        <f>('June 2024 YTD'!BK131*2)*1.03</f>
        <v>0</v>
      </c>
      <c r="BM131" s="8">
        <f>('June 2024 YTD'!BL131*2)*1.03</f>
        <v>0</v>
      </c>
      <c r="BN131" s="8">
        <f>('June 2024 YTD'!BM131*2)*1.03</f>
        <v>0</v>
      </c>
      <c r="BO131" s="8">
        <f>('June 2024 YTD'!BN131*2)*1.03</f>
        <v>0</v>
      </c>
      <c r="BP131" s="8">
        <f>('June 2024 YTD'!BO131*2)*1.03</f>
        <v>0</v>
      </c>
      <c r="BQ131" s="8">
        <f>('June 2024 YTD'!BP131*2)*1.03</f>
        <v>0</v>
      </c>
      <c r="BR131" s="8">
        <f>('June 2024 YTD'!BQ131*2)*1.03</f>
        <v>0</v>
      </c>
      <c r="BS131" s="8">
        <f>('June 2024 YTD'!BR131*2)*1.03</f>
        <v>0</v>
      </c>
      <c r="BT131" s="8">
        <f>('June 2024 YTD'!BS131*2)*1.03</f>
        <v>0</v>
      </c>
      <c r="BU131" s="8">
        <f>('June 2024 YTD'!BT131*2)*1.03</f>
        <v>0</v>
      </c>
      <c r="BV131" s="8">
        <f>('June 2024 YTD'!BU131*2)*1.03</f>
        <v>0</v>
      </c>
      <c r="BW131" s="8">
        <f>('June 2024 YTD'!BV131*2)*1.03</f>
        <v>0</v>
      </c>
      <c r="BX131" s="88">
        <f>('June 2024 YTD'!BW131*2)*1.03</f>
        <v>0</v>
      </c>
      <c r="BY131" s="88">
        <f>('June 2024 YTD'!BX131*2)*1.03</f>
        <v>0</v>
      </c>
      <c r="BZ131" s="88">
        <f>('June 2024 YTD'!BY131*2)*1.03</f>
        <v>0</v>
      </c>
      <c r="CA131" s="8">
        <f t="shared" si="134"/>
        <v>302.09900000000005</v>
      </c>
      <c r="CB131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31" s="85" t="e">
        <f t="shared" si="126"/>
        <v>#REF!</v>
      </c>
    </row>
    <row r="132" spans="1:81">
      <c r="A132" s="78" t="s">
        <v>209</v>
      </c>
      <c r="B132" s="8">
        <v>0</v>
      </c>
      <c r="C132" s="8">
        <f>('June 2024 YTD'!C132*2)*1.03</f>
        <v>0</v>
      </c>
      <c r="D132" s="8">
        <f>('June 2024 YTD'!D132*2)*1.03</f>
        <v>0</v>
      </c>
      <c r="E132" s="8">
        <f>('June 2024 YTD'!E132*2)*1.03</f>
        <v>0</v>
      </c>
      <c r="F132" s="8">
        <f>('June 2024 YTD'!F132*2)*1.03</f>
        <v>0</v>
      </c>
      <c r="G132" s="8">
        <f>('June 2024 YTD'!G132*2)*1.03</f>
        <v>0</v>
      </c>
      <c r="H132" s="8">
        <f>('June 2024 YTD'!H132*2)*1.03</f>
        <v>0</v>
      </c>
      <c r="I132" s="8">
        <f>('June 2024 YTD'!I132*2)*1.03</f>
        <v>0</v>
      </c>
      <c r="J132" s="8">
        <f>('June 2024 YTD'!J132*2)*1.03</f>
        <v>0</v>
      </c>
      <c r="K132" s="8">
        <f>('June 2024 YTD'!K132*2)*1.03</f>
        <v>0</v>
      </c>
      <c r="L132" s="8">
        <f>('June 2024 YTD'!L132*2)*1.03</f>
        <v>0</v>
      </c>
      <c r="M132" s="8">
        <f>('June 2024 YTD'!M132*2)*1.03</f>
        <v>0</v>
      </c>
      <c r="N132" s="8">
        <f>('June 2024 YTD'!N132*2)*1.03</f>
        <v>0</v>
      </c>
      <c r="O132" s="8">
        <f>('June 2024 YTD'!O132*2)*1.03</f>
        <v>0</v>
      </c>
      <c r="P132" s="8">
        <f>('June 2024 YTD'!P132*2)*1.03</f>
        <v>0</v>
      </c>
      <c r="Q132" s="8">
        <f>('June 2024 YTD'!Q132*2)*1.03</f>
        <v>0</v>
      </c>
      <c r="R132" s="8">
        <f>('June 2024 YTD'!R132*2)*1.03</f>
        <v>0</v>
      </c>
      <c r="S132" s="8">
        <f>('June 2024 YTD'!S132*2)*1.03</f>
        <v>0</v>
      </c>
      <c r="T132" s="8">
        <f>('June 2024 YTD'!T132*2)*1.03</f>
        <v>0</v>
      </c>
      <c r="U132" s="8">
        <f>('June 2024 YTD'!U132*2)*1.03</f>
        <v>0</v>
      </c>
      <c r="V132" s="8">
        <f>('June 2024 YTD'!V132*2)*1.03</f>
        <v>0</v>
      </c>
      <c r="W132" s="8">
        <f>('June 2024 YTD'!W132*2)*1.03</f>
        <v>0</v>
      </c>
      <c r="X132" s="8">
        <f>('June 2024 YTD'!X132*2)*1.03</f>
        <v>0</v>
      </c>
      <c r="Y132" s="8">
        <f>('June 2024 YTD'!Y132*2)*1.03</f>
        <v>0</v>
      </c>
      <c r="Z132" s="8">
        <f>('June 2024 YTD'!Z132*2)*1.03</f>
        <v>0</v>
      </c>
      <c r="AA132" s="8">
        <f>('June 2024 YTD'!AA132*2)*1.03</f>
        <v>0</v>
      </c>
      <c r="AB132" s="8">
        <f>('June 2024 YTD'!AB132*2)*1.03</f>
        <v>0</v>
      </c>
      <c r="AC132" s="8">
        <f>('June 2024 YTD'!AC132*2)*1.03</f>
        <v>0</v>
      </c>
      <c r="AD132" s="8">
        <f>('June 2024 YTD'!AD132*2)*1.03</f>
        <v>0</v>
      </c>
      <c r="AE132" s="8">
        <v>0</v>
      </c>
      <c r="AF132" s="8">
        <f>('June 2024 YTD'!AE132*2)*1.03</f>
        <v>0</v>
      </c>
      <c r="AG132" s="8">
        <f>('June 2024 YTD'!AF132*2)</f>
        <v>77268.899999999994</v>
      </c>
      <c r="AH132" s="8">
        <f>('June 2024 YTD'!AG132*2)*1.03</f>
        <v>30652.491000000002</v>
      </c>
      <c r="AI132" s="8">
        <f>('June 2024 YTD'!AH132*2)*1.03</f>
        <v>0</v>
      </c>
      <c r="AJ132" s="88">
        <f>('June 2024 YTD'!AI132*2)*1.03</f>
        <v>0</v>
      </c>
      <c r="AK132" s="88">
        <f>('June 2024 YTD'!AJ132*2)*1.03</f>
        <v>0</v>
      </c>
      <c r="AL132" s="88">
        <f>('June 2024 YTD'!AK132*2)*1.03</f>
        <v>0</v>
      </c>
      <c r="AM132" s="88">
        <f>('June 2024 YTD'!AL132*2)*1.03</f>
        <v>0</v>
      </c>
      <c r="AN132" s="88">
        <f>('June 2024 YTD'!AM132*2)*1.03</f>
        <v>0</v>
      </c>
      <c r="AO132" s="88">
        <f>('June 2024 YTD'!AN132*2)*1.03</f>
        <v>0</v>
      </c>
      <c r="AP132" s="88">
        <f>('June 2024 YTD'!AO132*2)*1.03</f>
        <v>0</v>
      </c>
      <c r="AQ132" s="8">
        <f>('June 2024 YTD'!AP132*2)*1.03</f>
        <v>0</v>
      </c>
      <c r="AR132" s="8">
        <f>('June 2024 YTD'!AQ132*2)*1.03</f>
        <v>0</v>
      </c>
      <c r="AS132" s="88">
        <f>('June 2024 YTD'!AR132*2)*1.03</f>
        <v>0</v>
      </c>
      <c r="AT132" s="8">
        <f>('June 2024 YTD'!AS132*2)*1.03</f>
        <v>0</v>
      </c>
      <c r="AU132" s="88">
        <f>('June 2024 YTD'!AT132*2)*1.03</f>
        <v>0</v>
      </c>
      <c r="AV132" s="88">
        <f>('June 2024 YTD'!AU132*2)*1.03</f>
        <v>0</v>
      </c>
      <c r="AW132" s="8">
        <f>('June 2024 YTD'!AV132*2)*1.03</f>
        <v>0</v>
      </c>
      <c r="AX132" s="8">
        <f>('June 2024 YTD'!AW132*2)*1.03</f>
        <v>0</v>
      </c>
      <c r="AY132" s="88">
        <f>('June 2024 YTD'!AX132*2)*1.03</f>
        <v>0</v>
      </c>
      <c r="AZ132" s="8">
        <f>('June 2024 YTD'!AY132*2)*1.03</f>
        <v>0</v>
      </c>
      <c r="BA132" s="8">
        <f>('June 2024 YTD'!AZ132*2)*1.03</f>
        <v>0</v>
      </c>
      <c r="BB132" s="8">
        <f>('June 2024 YTD'!BA132*2)*1.03</f>
        <v>0</v>
      </c>
      <c r="BC132" s="88">
        <f>('June 2024 YTD'!BB132*2)*1.03</f>
        <v>0</v>
      </c>
      <c r="BD132" s="88">
        <f>('June 2024 YTD'!BC132*2)*1.03</f>
        <v>0</v>
      </c>
      <c r="BE132" s="88">
        <f>('June 2024 YTD'!BD132*2)*1.03</f>
        <v>0</v>
      </c>
      <c r="BF132" s="88">
        <f>('June 2024 YTD'!BE132*2)*1.03</f>
        <v>0</v>
      </c>
      <c r="BG132" s="8">
        <f>('June 2024 YTD'!BF132*2)*1.03</f>
        <v>0</v>
      </c>
      <c r="BH132" s="8">
        <f>('June 2024 YTD'!BG132*2)*1.03</f>
        <v>0</v>
      </c>
      <c r="BI132" s="8">
        <f>('June 2024 YTD'!BH132*2)*1.03</f>
        <v>0</v>
      </c>
      <c r="BJ132" s="8">
        <f>('June 2024 YTD'!BI132*2)*1.03</f>
        <v>0</v>
      </c>
      <c r="BK132" s="8">
        <f>('June 2024 YTD'!BJ132*2)*1.03</f>
        <v>0</v>
      </c>
      <c r="BL132" s="8">
        <f>('June 2024 YTD'!BK132*2)*1.03</f>
        <v>0</v>
      </c>
      <c r="BM132" s="8">
        <f>('June 2024 YTD'!BL132*2)*1.03</f>
        <v>0</v>
      </c>
      <c r="BN132" s="8">
        <f>('June 2024 YTD'!BM132*2)*1.03</f>
        <v>0</v>
      </c>
      <c r="BO132" s="8">
        <f>('June 2024 YTD'!BN132*2)*1.03</f>
        <v>0</v>
      </c>
      <c r="BP132" s="8">
        <f>('June 2024 YTD'!BO132*2)*1.03</f>
        <v>0</v>
      </c>
      <c r="BQ132" s="8">
        <f>('June 2024 YTD'!BP132*2)*1.03</f>
        <v>0</v>
      </c>
      <c r="BR132" s="8">
        <f>('June 2024 YTD'!BQ132*2)*1.03</f>
        <v>0</v>
      </c>
      <c r="BS132" s="8">
        <f>('June 2024 YTD'!BR132*2)*1.03</f>
        <v>0</v>
      </c>
      <c r="BT132" s="8">
        <f>('June 2024 YTD'!BS132*2)*1.03</f>
        <v>0</v>
      </c>
      <c r="BU132" s="8">
        <f>('June 2024 YTD'!BT132*2)*1.03</f>
        <v>0</v>
      </c>
      <c r="BV132" s="8">
        <f>('June 2024 YTD'!BU132*2)*1.03</f>
        <v>0</v>
      </c>
      <c r="BW132" s="8">
        <f>('June 2024 YTD'!BV132*2)*1.03</f>
        <v>0</v>
      </c>
      <c r="BX132" s="88">
        <f>('June 2024 YTD'!BW132*2)*1.03</f>
        <v>0</v>
      </c>
      <c r="BY132" s="88">
        <f>('June 2024 YTD'!BX132*2)*1.03</f>
        <v>0</v>
      </c>
      <c r="BZ132" s="88">
        <f>('June 2024 YTD'!BY132*2)*1.03</f>
        <v>0</v>
      </c>
      <c r="CA132" s="8">
        <f t="shared" si="134"/>
        <v>107921.391</v>
      </c>
      <c r="CB132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32" s="85" t="e">
        <f t="shared" si="126"/>
        <v>#REF!</v>
      </c>
    </row>
    <row r="133" spans="1:81">
      <c r="A133" s="9" t="s">
        <v>210</v>
      </c>
      <c r="B133" s="10">
        <f t="shared" ref="B133:BN133" si="135">SUM(B126:B132)</f>
        <v>0</v>
      </c>
      <c r="C133" s="10">
        <f t="shared" si="135"/>
        <v>0</v>
      </c>
      <c r="D133" s="10">
        <f t="shared" si="135"/>
        <v>0</v>
      </c>
      <c r="E133" s="10">
        <f t="shared" si="135"/>
        <v>0</v>
      </c>
      <c r="F133" s="10">
        <f t="shared" si="135"/>
        <v>0</v>
      </c>
      <c r="G133" s="10">
        <f t="shared" si="135"/>
        <v>0</v>
      </c>
      <c r="H133" s="10">
        <f t="shared" si="135"/>
        <v>0</v>
      </c>
      <c r="I133" s="10">
        <f t="shared" si="135"/>
        <v>0</v>
      </c>
      <c r="J133" s="10">
        <f t="shared" si="135"/>
        <v>0</v>
      </c>
      <c r="K133" s="10">
        <f t="shared" si="135"/>
        <v>0</v>
      </c>
      <c r="L133" s="10">
        <f t="shared" si="135"/>
        <v>0</v>
      </c>
      <c r="M133" s="10">
        <f t="shared" si="135"/>
        <v>0</v>
      </c>
      <c r="N133" s="10">
        <f t="shared" si="135"/>
        <v>4614.2970000000005</v>
      </c>
      <c r="O133" s="10">
        <f t="shared" si="135"/>
        <v>0</v>
      </c>
      <c r="P133" s="10">
        <f t="shared" si="135"/>
        <v>0</v>
      </c>
      <c r="Q133" s="10">
        <f t="shared" si="135"/>
        <v>0</v>
      </c>
      <c r="R133" s="10">
        <f t="shared" si="135"/>
        <v>0</v>
      </c>
      <c r="S133" s="10">
        <f t="shared" si="135"/>
        <v>0</v>
      </c>
      <c r="T133" s="10">
        <f t="shared" si="135"/>
        <v>0</v>
      </c>
      <c r="U133" s="10">
        <f t="shared" si="135"/>
        <v>0</v>
      </c>
      <c r="V133" s="10">
        <f t="shared" si="135"/>
        <v>0</v>
      </c>
      <c r="W133" s="10">
        <f t="shared" si="135"/>
        <v>0</v>
      </c>
      <c r="X133" s="10">
        <f t="shared" si="135"/>
        <v>0</v>
      </c>
      <c r="Y133" s="10">
        <f t="shared" si="135"/>
        <v>0</v>
      </c>
      <c r="Z133" s="10">
        <f t="shared" si="135"/>
        <v>0</v>
      </c>
      <c r="AA133" s="10">
        <f t="shared" si="135"/>
        <v>0</v>
      </c>
      <c r="AB133" s="10">
        <f t="shared" si="135"/>
        <v>0</v>
      </c>
      <c r="AC133" s="10">
        <f t="shared" si="135"/>
        <v>0</v>
      </c>
      <c r="AD133" s="10">
        <f t="shared" si="135"/>
        <v>0</v>
      </c>
      <c r="AE133" s="10">
        <f t="shared" ref="AE133" si="136">SUM(AE126:AE132)</f>
        <v>0</v>
      </c>
      <c r="AF133" s="10">
        <f t="shared" si="135"/>
        <v>8319.9774904080714</v>
      </c>
      <c r="AG133" s="10">
        <f t="shared" si="135"/>
        <v>77444.123599999992</v>
      </c>
      <c r="AH133" s="10">
        <f t="shared" si="135"/>
        <v>30779.366400000003</v>
      </c>
      <c r="AI133" s="10">
        <f t="shared" si="135"/>
        <v>44515.839386224005</v>
      </c>
      <c r="AJ133" s="89">
        <f t="shared" si="135"/>
        <v>0</v>
      </c>
      <c r="AK133" s="89">
        <f t="shared" si="135"/>
        <v>0</v>
      </c>
      <c r="AL133" s="89">
        <f t="shared" si="135"/>
        <v>0</v>
      </c>
      <c r="AM133" s="89">
        <f t="shared" si="135"/>
        <v>0</v>
      </c>
      <c r="AN133" s="89">
        <f t="shared" si="135"/>
        <v>206.18654208888526</v>
      </c>
      <c r="AO133" s="89">
        <f t="shared" si="135"/>
        <v>0</v>
      </c>
      <c r="AP133" s="89">
        <f t="shared" si="135"/>
        <v>0</v>
      </c>
      <c r="AQ133" s="10">
        <f t="shared" si="135"/>
        <v>0</v>
      </c>
      <c r="AR133" s="10">
        <f t="shared" si="135"/>
        <v>47062.52025536407</v>
      </c>
      <c r="AS133" s="89">
        <f t="shared" si="135"/>
        <v>0</v>
      </c>
      <c r="AT133" s="10">
        <f t="shared" si="135"/>
        <v>0</v>
      </c>
      <c r="AU133" s="89">
        <f t="shared" si="135"/>
        <v>0</v>
      </c>
      <c r="AV133" s="89">
        <f t="shared" si="135"/>
        <v>0</v>
      </c>
      <c r="AW133" s="10">
        <f t="shared" si="135"/>
        <v>0</v>
      </c>
      <c r="AX133" s="10">
        <f t="shared" si="135"/>
        <v>0</v>
      </c>
      <c r="AY133" s="89">
        <f t="shared" si="135"/>
        <v>0</v>
      </c>
      <c r="AZ133" s="10">
        <f t="shared" si="135"/>
        <v>0</v>
      </c>
      <c r="BA133" s="10">
        <f t="shared" si="135"/>
        <v>0</v>
      </c>
      <c r="BB133" s="10">
        <f t="shared" si="135"/>
        <v>14619.388724307693</v>
      </c>
      <c r="BC133" s="89">
        <f t="shared" si="135"/>
        <v>0</v>
      </c>
      <c r="BD133" s="89">
        <f t="shared" si="135"/>
        <v>0</v>
      </c>
      <c r="BE133" s="89">
        <f t="shared" si="135"/>
        <v>0</v>
      </c>
      <c r="BF133" s="89">
        <f t="shared" si="135"/>
        <v>0</v>
      </c>
      <c r="BG133" s="10">
        <f t="shared" si="135"/>
        <v>0</v>
      </c>
      <c r="BH133" s="10">
        <f t="shared" si="135"/>
        <v>0</v>
      </c>
      <c r="BI133" s="10">
        <f t="shared" si="135"/>
        <v>100000</v>
      </c>
      <c r="BJ133" s="10">
        <f t="shared" si="135"/>
        <v>0</v>
      </c>
      <c r="BK133" s="10">
        <f t="shared" si="135"/>
        <v>0</v>
      </c>
      <c r="BL133" s="10">
        <f t="shared" si="135"/>
        <v>0</v>
      </c>
      <c r="BM133" s="10">
        <f t="shared" si="135"/>
        <v>0</v>
      </c>
      <c r="BN133" s="10">
        <f t="shared" si="135"/>
        <v>0</v>
      </c>
      <c r="BO133" s="10">
        <f t="shared" ref="BO133:CB133" si="137">SUM(BO126:BO132)</f>
        <v>0</v>
      </c>
      <c r="BP133" s="10">
        <f t="shared" si="137"/>
        <v>0</v>
      </c>
      <c r="BQ133" s="10">
        <f t="shared" si="137"/>
        <v>0</v>
      </c>
      <c r="BR133" s="10">
        <f t="shared" si="137"/>
        <v>0</v>
      </c>
      <c r="BS133" s="10">
        <f t="shared" si="137"/>
        <v>0</v>
      </c>
      <c r="BT133" s="10">
        <f t="shared" si="137"/>
        <v>0</v>
      </c>
      <c r="BU133" s="10">
        <f t="shared" si="137"/>
        <v>0</v>
      </c>
      <c r="BV133" s="10">
        <f t="shared" si="137"/>
        <v>0</v>
      </c>
      <c r="BW133" s="10">
        <f t="shared" si="137"/>
        <v>0</v>
      </c>
      <c r="BX133" s="89">
        <f t="shared" si="137"/>
        <v>0</v>
      </c>
      <c r="BY133" s="89">
        <f t="shared" si="137"/>
        <v>0</v>
      </c>
      <c r="BZ133" s="89">
        <f t="shared" si="137"/>
        <v>0</v>
      </c>
      <c r="CA133" s="10">
        <f t="shared" si="137"/>
        <v>327561.6993983927</v>
      </c>
      <c r="CB133" s="10" t="e">
        <f t="shared" si="137"/>
        <v>#REF!</v>
      </c>
      <c r="CC133" s="85" t="e">
        <f t="shared" si="126"/>
        <v>#REF!</v>
      </c>
    </row>
    <row r="134" spans="1:81">
      <c r="A134" s="22" t="s">
        <v>211</v>
      </c>
      <c r="B134" s="8">
        <v>0</v>
      </c>
      <c r="C134" s="8">
        <f>('June 2024 YTD'!C134*2)*1.03</f>
        <v>211.97400000000002</v>
      </c>
      <c r="D134" s="8">
        <f>('June 2024 YTD'!D134*2)*1.03</f>
        <v>0</v>
      </c>
      <c r="E134" s="8">
        <f>('June 2024 YTD'!E134*2)*1.03</f>
        <v>0</v>
      </c>
      <c r="F134" s="8">
        <f>('June 2024 YTD'!F134*2)*1.03</f>
        <v>0</v>
      </c>
      <c r="G134" s="8">
        <f>('June 2024 YTD'!G134*2)*1.03</f>
        <v>1715.8357999999998</v>
      </c>
      <c r="H134" s="8">
        <f>('June 2024 YTD'!H134*2)*1.03</f>
        <v>0</v>
      </c>
      <c r="I134" s="8">
        <f>('June 2024 YTD'!I134*2)*1.03</f>
        <v>0</v>
      </c>
      <c r="J134" s="8">
        <f>('June 2024 YTD'!J134*2)*1.03</f>
        <v>0</v>
      </c>
      <c r="K134" s="8">
        <f>('June 2024 YTD'!K134*2)*1.03</f>
        <v>0</v>
      </c>
      <c r="L134" s="8">
        <f>('June 2024 YTD'!L134*2)*1.03</f>
        <v>0</v>
      </c>
      <c r="M134" s="8">
        <f>('June 2024 YTD'!M134*2)*1.03</f>
        <v>0</v>
      </c>
      <c r="N134" s="8">
        <f>('June 2024 YTD'!N134*2)*1.03</f>
        <v>671.56000000000006</v>
      </c>
      <c r="O134" s="8">
        <f>('June 2024 YTD'!O134*2)*1.03</f>
        <v>0</v>
      </c>
      <c r="P134" s="8">
        <f>('June 2024 YTD'!P134*2)*1.03</f>
        <v>0</v>
      </c>
      <c r="Q134" s="8">
        <f>('June 2024 YTD'!Q134*2)*1.03</f>
        <v>0</v>
      </c>
      <c r="R134" s="8">
        <f>('June 2024 YTD'!R134*2)*1.03</f>
        <v>0</v>
      </c>
      <c r="S134" s="8">
        <f>('June 2024 YTD'!S134*2)*1.03</f>
        <v>0</v>
      </c>
      <c r="T134" s="8">
        <f>('June 2024 YTD'!T134*2)*1.03</f>
        <v>0</v>
      </c>
      <c r="U134" s="8">
        <f>('June 2024 YTD'!U134*2)*1.03</f>
        <v>0</v>
      </c>
      <c r="V134" s="8">
        <f>('June 2024 YTD'!V134*2)*1.03</f>
        <v>0</v>
      </c>
      <c r="W134" s="8">
        <f>('June 2024 YTD'!W134*2)*1.03</f>
        <v>0</v>
      </c>
      <c r="X134" s="8">
        <f>('June 2024 YTD'!X134*2)*1.03</f>
        <v>0</v>
      </c>
      <c r="Y134" s="8">
        <f>('June 2024 YTD'!Y134*2)*1.03</f>
        <v>0</v>
      </c>
      <c r="Z134" s="8">
        <f>('June 2024 YTD'!Z134*2)*1.03</f>
        <v>0</v>
      </c>
      <c r="AA134" s="8">
        <f>('June 2024 YTD'!AA134*2)*1.03</f>
        <v>0</v>
      </c>
      <c r="AB134" s="8">
        <f>('June 2024 YTD'!AB134*2)*1.03</f>
        <v>0</v>
      </c>
      <c r="AC134" s="8">
        <f>('June 2024 YTD'!AC134*2)*1.03</f>
        <v>0</v>
      </c>
      <c r="AD134" s="8">
        <f>('June 2024 YTD'!AD134*2)*1.03</f>
        <v>0</v>
      </c>
      <c r="AE134" s="8">
        <v>0</v>
      </c>
      <c r="AF134" s="8">
        <f>('June 2024 YTD'!AE134*2)*1.03</f>
        <v>0</v>
      </c>
      <c r="AG134" s="8">
        <f>('June 2024 YTD'!AF134*2)*1.03</f>
        <v>0</v>
      </c>
      <c r="AH134" s="8">
        <f>('June 2024 YTD'!AG134*2)*1.03</f>
        <v>0</v>
      </c>
      <c r="AI134" s="8">
        <f>('June 2024 YTD'!AH134*2)*1.03</f>
        <v>0</v>
      </c>
      <c r="AJ134" s="88">
        <f>('June 2024 YTD'!AI134*2)*1.03</f>
        <v>0</v>
      </c>
      <c r="AK134" s="88">
        <f>('June 2024 YTD'!AJ134*2)*1.03</f>
        <v>0</v>
      </c>
      <c r="AL134" s="88">
        <f>('June 2024 YTD'!AK134*2)*1.03</f>
        <v>0</v>
      </c>
      <c r="AM134" s="88">
        <f>('June 2024 YTD'!AL134*2)*1.03</f>
        <v>0</v>
      </c>
      <c r="AN134" s="88">
        <f>('June 2024 YTD'!AM134*2)*1.03</f>
        <v>0</v>
      </c>
      <c r="AO134" s="88">
        <f>('June 2024 YTD'!AN134*2)*1.03</f>
        <v>0</v>
      </c>
      <c r="AP134" s="88">
        <f>('June 2024 YTD'!AO134*2)*1.03</f>
        <v>0</v>
      </c>
      <c r="AQ134" s="8">
        <f>('June 2024 YTD'!AP134*2)*1.03</f>
        <v>0</v>
      </c>
      <c r="AR134" s="8">
        <f>('June 2024 YTD'!AQ134*2)*1.03</f>
        <v>0</v>
      </c>
      <c r="AS134" s="88">
        <f>('June 2024 YTD'!AR134*2)*1.03</f>
        <v>0</v>
      </c>
      <c r="AT134" s="8">
        <f>('June 2024 YTD'!AS134*2)*1.03</f>
        <v>0</v>
      </c>
      <c r="AU134" s="88">
        <f>('June 2024 YTD'!AT134*2)*1.03</f>
        <v>0</v>
      </c>
      <c r="AV134" s="88">
        <f>('June 2024 YTD'!AU134*2)*1.03</f>
        <v>0</v>
      </c>
      <c r="AW134" s="8">
        <f>('June 2024 YTD'!AV134*2)*1.03</f>
        <v>0</v>
      </c>
      <c r="AX134" s="8">
        <f>('June 2024 YTD'!AW134*2)*1.03</f>
        <v>0</v>
      </c>
      <c r="AY134" s="88">
        <f>('June 2024 YTD'!AX134*2)*1.03</f>
        <v>0</v>
      </c>
      <c r="AZ134" s="8">
        <f>('June 2024 YTD'!AY134*2)*1.03</f>
        <v>0</v>
      </c>
      <c r="BA134" s="8">
        <f>('June 2024 YTD'!AZ134*2)*1.03</f>
        <v>0</v>
      </c>
      <c r="BB134" s="8">
        <f>('June 2024 YTD'!BA134*2)*1.03</f>
        <v>0</v>
      </c>
      <c r="BC134" s="88">
        <f>('June 2024 YTD'!BB134*2)*1.03</f>
        <v>0</v>
      </c>
      <c r="BD134" s="88">
        <f>('June 2024 YTD'!BC134*2)*1.03</f>
        <v>0</v>
      </c>
      <c r="BE134" s="88">
        <f>('June 2024 YTD'!BD134*2)*1.03</f>
        <v>0</v>
      </c>
      <c r="BF134" s="88">
        <f>('June 2024 YTD'!BE134*2)*1.03</f>
        <v>0</v>
      </c>
      <c r="BG134" s="8">
        <f>('June 2024 YTD'!BF134*2)*1.03</f>
        <v>0</v>
      </c>
      <c r="BH134" s="8">
        <f>('June 2024 YTD'!BG134*2)*1.03</f>
        <v>0</v>
      </c>
      <c r="BI134" s="8">
        <f>('June 2024 YTD'!BH134*2)*1.03</f>
        <v>0</v>
      </c>
      <c r="BJ134" s="8">
        <f>('June 2024 YTD'!BI134*2)*1.03</f>
        <v>0</v>
      </c>
      <c r="BK134" s="8">
        <f>('June 2024 YTD'!BJ134*2)*1.03</f>
        <v>0</v>
      </c>
      <c r="BL134" s="8">
        <f>('June 2024 YTD'!BK134*2)*1.03</f>
        <v>0</v>
      </c>
      <c r="BM134" s="8">
        <f>('June 2024 YTD'!BL134*2)*1.03</f>
        <v>0</v>
      </c>
      <c r="BN134" s="8">
        <f>('June 2024 YTD'!BM134*2)*1.03</f>
        <v>0</v>
      </c>
      <c r="BO134" s="8">
        <f>('June 2024 YTD'!BN134*2)*1.03</f>
        <v>0</v>
      </c>
      <c r="BP134" s="8">
        <f>('June 2024 YTD'!BO134*2)*1.03</f>
        <v>0</v>
      </c>
      <c r="BQ134" s="8">
        <f>('June 2024 YTD'!BP134*2)*1.03</f>
        <v>0</v>
      </c>
      <c r="BR134" s="8">
        <f>('June 2024 YTD'!BQ134*2)*1.03</f>
        <v>0</v>
      </c>
      <c r="BS134" s="8">
        <f>('June 2024 YTD'!BR134*2)*1.03</f>
        <v>0</v>
      </c>
      <c r="BT134" s="8">
        <f>('June 2024 YTD'!BS134*2)*1.03</f>
        <v>0</v>
      </c>
      <c r="BU134" s="8">
        <f>('June 2024 YTD'!BT134*2)*1.03</f>
        <v>0</v>
      </c>
      <c r="BV134" s="8">
        <f>('June 2024 YTD'!BU134*2)*1.03</f>
        <v>0</v>
      </c>
      <c r="BW134" s="8">
        <f>('June 2024 YTD'!BV134*2)*1.03</f>
        <v>0</v>
      </c>
      <c r="BX134" s="88">
        <f>('June 2024 YTD'!BW134*2)*1.03</f>
        <v>0</v>
      </c>
      <c r="BY134" s="88">
        <f>('June 2024 YTD'!BX134*2)*1.03</f>
        <v>0</v>
      </c>
      <c r="BZ134" s="88">
        <f>('June 2024 YTD'!BY134*2)*1.03</f>
        <v>0</v>
      </c>
      <c r="CA134" s="8">
        <f t="shared" si="134"/>
        <v>2599.3697999999999</v>
      </c>
      <c r="CB134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34" s="85" t="e">
        <f t="shared" si="126"/>
        <v>#REF!</v>
      </c>
    </row>
    <row r="135" spans="1:81">
      <c r="A135" s="22" t="s">
        <v>212</v>
      </c>
      <c r="B135" s="8">
        <v>0</v>
      </c>
      <c r="C135" s="8">
        <f>('June 2024 YTD'!C135*2)*1.03</f>
        <v>0</v>
      </c>
      <c r="D135" s="8">
        <f>('June 2024 YTD'!D135*2)*1.03</f>
        <v>0</v>
      </c>
      <c r="E135" s="8">
        <f>('June 2024 YTD'!E135*2)*1.03</f>
        <v>0</v>
      </c>
      <c r="F135" s="8">
        <f>('June 2024 YTD'!F135*2)*1.03</f>
        <v>0</v>
      </c>
      <c r="G135" s="8">
        <f>('June 2024 YTD'!G135*2)*1.03</f>
        <v>17432.564600000002</v>
      </c>
      <c r="H135" s="8">
        <f>('June 2024 YTD'!H135*2)*1.03</f>
        <v>0</v>
      </c>
      <c r="I135" s="8">
        <f>('June 2024 YTD'!I135*2)*1.03</f>
        <v>0</v>
      </c>
      <c r="J135" s="8">
        <f>('June 2024 YTD'!J135*2)*1.03</f>
        <v>0</v>
      </c>
      <c r="K135" s="8">
        <f>('June 2024 YTD'!K135*2)*1.03</f>
        <v>0</v>
      </c>
      <c r="L135" s="8">
        <f>('June 2024 YTD'!L135*2)*1.03</f>
        <v>0</v>
      </c>
      <c r="M135" s="8">
        <f>('June 2024 YTD'!M135*2)*1.03</f>
        <v>0</v>
      </c>
      <c r="N135" s="8">
        <f>('June 2024 YTD'!N135*2)*1.03</f>
        <v>0</v>
      </c>
      <c r="O135" s="8">
        <f>('June 2024 YTD'!O135*2)*1.03</f>
        <v>0</v>
      </c>
      <c r="P135" s="8">
        <f>('June 2024 YTD'!P135*2)*1.03</f>
        <v>0</v>
      </c>
      <c r="Q135" s="8">
        <f>('June 2024 YTD'!Q135*2)*1.03</f>
        <v>0</v>
      </c>
      <c r="R135" s="8">
        <f>('June 2024 YTD'!R135*2)*1.03</f>
        <v>0</v>
      </c>
      <c r="S135" s="8">
        <f>('June 2024 YTD'!S135*2)*1.03</f>
        <v>0</v>
      </c>
      <c r="T135" s="8">
        <f>('June 2024 YTD'!T135*2)*1.03</f>
        <v>0</v>
      </c>
      <c r="U135" s="8">
        <f>('June 2024 YTD'!U135*2)*1.03</f>
        <v>0</v>
      </c>
      <c r="V135" s="8">
        <f>('June 2024 YTD'!V135*2)*1.03</f>
        <v>0</v>
      </c>
      <c r="W135" s="8">
        <f>('June 2024 YTD'!W135*2)*1.03</f>
        <v>0</v>
      </c>
      <c r="X135" s="8">
        <f>('June 2024 YTD'!X135*2)*1.03</f>
        <v>0</v>
      </c>
      <c r="Y135" s="8">
        <f>('June 2024 YTD'!Y135*2)*1.03</f>
        <v>0</v>
      </c>
      <c r="Z135" s="8">
        <f>('June 2024 YTD'!Z135*2)*1.03</f>
        <v>0</v>
      </c>
      <c r="AA135" s="8">
        <f>('June 2024 YTD'!AA135*2)*1.03</f>
        <v>0</v>
      </c>
      <c r="AB135" s="8">
        <f>('June 2024 YTD'!AB135*2)*1.03</f>
        <v>0</v>
      </c>
      <c r="AC135" s="8">
        <f>('June 2024 YTD'!AC135*2)*1.03</f>
        <v>0</v>
      </c>
      <c r="AD135" s="8">
        <f>('June 2024 YTD'!AD135*2)*1.03</f>
        <v>0</v>
      </c>
      <c r="AE135" s="8">
        <v>0</v>
      </c>
      <c r="AF135" s="8">
        <f>('June 2024 YTD'!AE135*2)*1.03</f>
        <v>0</v>
      </c>
      <c r="AG135" s="8">
        <f>('June 2024 YTD'!AF135*2)*1.03</f>
        <v>0</v>
      </c>
      <c r="AH135" s="8">
        <f>('June 2024 YTD'!AG135*2)*1.03</f>
        <v>0</v>
      </c>
      <c r="AI135" s="8">
        <f>('June 2024 YTD'!AH135*2)*1.03</f>
        <v>0</v>
      </c>
      <c r="AJ135" s="88">
        <f>('June 2024 YTD'!AI135*2)*1.03</f>
        <v>0</v>
      </c>
      <c r="AK135" s="88">
        <f>('June 2024 YTD'!AJ135*2)*1.03</f>
        <v>0</v>
      </c>
      <c r="AL135" s="88">
        <f>('June 2024 YTD'!AK135*2)*1.03</f>
        <v>0</v>
      </c>
      <c r="AM135" s="88">
        <f>('June 2024 YTD'!AL135*2)*1.03</f>
        <v>0</v>
      </c>
      <c r="AN135" s="88">
        <f>('June 2024 YTD'!AM135*2)*1.03</f>
        <v>0</v>
      </c>
      <c r="AO135" s="88">
        <f>('June 2024 YTD'!AN135*2)*1.03</f>
        <v>0</v>
      </c>
      <c r="AP135" s="88">
        <f>('June 2024 YTD'!AO135*2)*1.03</f>
        <v>0</v>
      </c>
      <c r="AQ135" s="8">
        <f>('June 2024 YTD'!AP135*2)*1.03</f>
        <v>0</v>
      </c>
      <c r="AR135" s="8">
        <f>('June 2024 YTD'!AQ135*2)*1.03</f>
        <v>0</v>
      </c>
      <c r="AS135" s="88">
        <f>('June 2024 YTD'!AR135*2)*1.03</f>
        <v>0</v>
      </c>
      <c r="AT135" s="8">
        <f>('June 2024 YTD'!AS135*2)*1.03</f>
        <v>0</v>
      </c>
      <c r="AU135" s="88">
        <f>('June 2024 YTD'!AT135*2)*1.03</f>
        <v>0</v>
      </c>
      <c r="AV135" s="88">
        <f>('June 2024 YTD'!AU135*2)*1.03</f>
        <v>0</v>
      </c>
      <c r="AW135" s="8">
        <f>('June 2024 YTD'!AV135*2)*1.03</f>
        <v>0</v>
      </c>
      <c r="AX135" s="8">
        <f>('June 2024 YTD'!AW135*2)*1.03</f>
        <v>0</v>
      </c>
      <c r="AY135" s="88">
        <f>('June 2024 YTD'!AX135*2)*1.03</f>
        <v>0</v>
      </c>
      <c r="AZ135" s="8">
        <f>('June 2024 YTD'!AY135*2)*1.03</f>
        <v>0</v>
      </c>
      <c r="BA135" s="8">
        <f>('June 2024 YTD'!AZ135*2)*1.03</f>
        <v>0</v>
      </c>
      <c r="BB135" s="8">
        <f>('June 2024 YTD'!BA135*2)*1.03</f>
        <v>16149.4112</v>
      </c>
      <c r="BC135" s="88">
        <f>('June 2024 YTD'!BB135*2)*1.03</f>
        <v>0</v>
      </c>
      <c r="BD135" s="88">
        <f>('June 2024 YTD'!BC135*2)*1.03</f>
        <v>0</v>
      </c>
      <c r="BE135" s="88">
        <f>('June 2024 YTD'!BD135*2)*1.03</f>
        <v>0</v>
      </c>
      <c r="BF135" s="88">
        <f>('June 2024 YTD'!BE135*2)*1.03</f>
        <v>0</v>
      </c>
      <c r="BG135" s="8">
        <f>('June 2024 YTD'!BF135*2)*1.03</f>
        <v>0</v>
      </c>
      <c r="BH135" s="8">
        <f>('June 2024 YTD'!BG135*2)*1.03</f>
        <v>0</v>
      </c>
      <c r="BI135" s="8">
        <f>('June 2024 YTD'!BH135*2)*1.03</f>
        <v>0</v>
      </c>
      <c r="BJ135" s="8">
        <f>('June 2024 YTD'!BI135*2)*1.03</f>
        <v>0</v>
      </c>
      <c r="BK135" s="8">
        <f>('June 2024 YTD'!BJ135*2)*1.03</f>
        <v>0</v>
      </c>
      <c r="BL135" s="8">
        <f>('June 2024 YTD'!BK135*2)*1.03</f>
        <v>0</v>
      </c>
      <c r="BM135" s="8">
        <f>('June 2024 YTD'!BL135*2)*1.03</f>
        <v>0</v>
      </c>
      <c r="BN135" s="8">
        <f>('June 2024 YTD'!BM135*2)*1.03</f>
        <v>0</v>
      </c>
      <c r="BO135" s="8">
        <f>('June 2024 YTD'!BN135*2)*1.03</f>
        <v>0</v>
      </c>
      <c r="BP135" s="8">
        <f>('June 2024 YTD'!BO135*2)*1.03</f>
        <v>0</v>
      </c>
      <c r="BQ135" s="8">
        <f>('June 2024 YTD'!BP135*2)*1.03</f>
        <v>0</v>
      </c>
      <c r="BR135" s="8">
        <f>('June 2024 YTD'!BQ135*2)*1.03</f>
        <v>0</v>
      </c>
      <c r="BS135" s="8">
        <f>('June 2024 YTD'!BR135*2)*1.03</f>
        <v>0</v>
      </c>
      <c r="BT135" s="8">
        <f>('June 2024 YTD'!BS135*2)*1.03</f>
        <v>0</v>
      </c>
      <c r="BU135" s="8">
        <f>('June 2024 YTD'!BT135*2)*1.03</f>
        <v>0</v>
      </c>
      <c r="BV135" s="8">
        <f>('June 2024 YTD'!BU135*2)*1.03</f>
        <v>0</v>
      </c>
      <c r="BW135" s="8">
        <f>('June 2024 YTD'!BV135*2)*1.03</f>
        <v>0</v>
      </c>
      <c r="BX135" s="88">
        <f>('June 2024 YTD'!BW135*2)*1.03</f>
        <v>0</v>
      </c>
      <c r="BY135" s="88">
        <f>('June 2024 YTD'!BX135*2)*1.03</f>
        <v>0</v>
      </c>
      <c r="BZ135" s="88">
        <f>('June 2024 YTD'!BY135*2)*1.03</f>
        <v>0</v>
      </c>
      <c r="CA135" s="8">
        <f t="shared" si="134"/>
        <v>33581.9758</v>
      </c>
      <c r="CB135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35" s="85" t="e">
        <f t="shared" si="126"/>
        <v>#REF!</v>
      </c>
    </row>
    <row r="136" spans="1:81">
      <c r="A136" s="22" t="s">
        <v>213</v>
      </c>
      <c r="B136" s="8">
        <v>0</v>
      </c>
      <c r="C136" s="8">
        <f>('June 2024 YTD'!C136*2)*1.03</f>
        <v>0</v>
      </c>
      <c r="D136" s="8">
        <f>('June 2024 YTD'!D136*2)*1.03</f>
        <v>0</v>
      </c>
      <c r="E136" s="8">
        <f>('June 2024 YTD'!E136*2)*1.03</f>
        <v>0</v>
      </c>
      <c r="F136" s="8">
        <f>('June 2024 YTD'!F136*2)*1.03</f>
        <v>0</v>
      </c>
      <c r="G136" s="8">
        <f>('June 2024 YTD'!G136*2)*1.03</f>
        <v>246.9528</v>
      </c>
      <c r="H136" s="8">
        <f>('June 2024 YTD'!H136*2)*1.03</f>
        <v>0</v>
      </c>
      <c r="I136" s="8">
        <f>('June 2024 YTD'!I136*2)*1.03</f>
        <v>0</v>
      </c>
      <c r="J136" s="8">
        <f>('June 2024 YTD'!J136*2)*1.03</f>
        <v>0</v>
      </c>
      <c r="K136" s="8">
        <f>('June 2024 YTD'!K136*2)*1.03</f>
        <v>0</v>
      </c>
      <c r="L136" s="8">
        <f>('June 2024 YTD'!L136*2)*1.03</f>
        <v>0</v>
      </c>
      <c r="M136" s="8">
        <f>('June 2024 YTD'!M136*2)*1.03</f>
        <v>0</v>
      </c>
      <c r="N136" s="8">
        <f>('June 2024 YTD'!N136*2)*1.03</f>
        <v>0</v>
      </c>
      <c r="O136" s="8">
        <f>('June 2024 YTD'!O136*2)*1.03</f>
        <v>0</v>
      </c>
      <c r="P136" s="8">
        <f>('June 2024 YTD'!P136*2)*1.03</f>
        <v>0</v>
      </c>
      <c r="Q136" s="8">
        <f>('June 2024 YTD'!Q136*2)*1.03</f>
        <v>0</v>
      </c>
      <c r="R136" s="8">
        <f>('June 2024 YTD'!R136*2)*1.03</f>
        <v>0</v>
      </c>
      <c r="S136" s="8">
        <f>('June 2024 YTD'!S136*2)*1.03</f>
        <v>0</v>
      </c>
      <c r="T136" s="8">
        <f>('June 2024 YTD'!T136*2)*1.03</f>
        <v>0</v>
      </c>
      <c r="U136" s="8">
        <f>('June 2024 YTD'!U136*2)*1.03</f>
        <v>0</v>
      </c>
      <c r="V136" s="8">
        <f>('June 2024 YTD'!V136*2)*1.03</f>
        <v>0</v>
      </c>
      <c r="W136" s="8">
        <f>('June 2024 YTD'!W136*2)*1.03</f>
        <v>0</v>
      </c>
      <c r="X136" s="8">
        <f>('June 2024 YTD'!X136*2)*1.03</f>
        <v>0</v>
      </c>
      <c r="Y136" s="8">
        <f>('June 2024 YTD'!Y136*2)*1.03</f>
        <v>0</v>
      </c>
      <c r="Z136" s="8">
        <f>('June 2024 YTD'!Z136*2)*1.03</f>
        <v>0</v>
      </c>
      <c r="AA136" s="8">
        <f>('June 2024 YTD'!AA136*2)*1.03</f>
        <v>0</v>
      </c>
      <c r="AB136" s="8">
        <f>('June 2024 YTD'!AB136*2)*1.03</f>
        <v>0</v>
      </c>
      <c r="AC136" s="8">
        <f>('June 2024 YTD'!AC136*2)*1.03</f>
        <v>0</v>
      </c>
      <c r="AD136" s="8">
        <f>('June 2024 YTD'!AD136*2)*1.03</f>
        <v>0</v>
      </c>
      <c r="AE136" s="8">
        <v>0</v>
      </c>
      <c r="AF136" s="8">
        <f>('June 2024 YTD'!AE136*2)*1.03</f>
        <v>0</v>
      </c>
      <c r="AG136" s="8">
        <f>('June 2024 YTD'!AF136*2)*1.03</f>
        <v>0</v>
      </c>
      <c r="AH136" s="8">
        <f>('June 2024 YTD'!AG136*2)*1.03</f>
        <v>0</v>
      </c>
      <c r="AI136" s="8">
        <f>('June 2024 YTD'!AH136*2)*1.03</f>
        <v>0</v>
      </c>
      <c r="AJ136" s="88">
        <f>('June 2024 YTD'!AI136*2)*1.03</f>
        <v>0</v>
      </c>
      <c r="AK136" s="88">
        <f>('June 2024 YTD'!AJ136*2)*1.03</f>
        <v>0</v>
      </c>
      <c r="AL136" s="88">
        <f>('June 2024 YTD'!AK136*2)*1.03</f>
        <v>0</v>
      </c>
      <c r="AM136" s="88">
        <f>('June 2024 YTD'!AL136*2)*1.03</f>
        <v>0</v>
      </c>
      <c r="AN136" s="88">
        <f>('June 2024 YTD'!AM136*2)*1.03</f>
        <v>0</v>
      </c>
      <c r="AO136" s="88">
        <f>('June 2024 YTD'!AN136*2)*1.03</f>
        <v>0</v>
      </c>
      <c r="AP136" s="88">
        <f>('June 2024 YTD'!AO136*2)*1.03</f>
        <v>0</v>
      </c>
      <c r="AQ136" s="8">
        <f>('June 2024 YTD'!AP136*2)*1.03</f>
        <v>0</v>
      </c>
      <c r="AR136" s="8">
        <f>('June 2024 YTD'!AQ136*2)*1.03</f>
        <v>0</v>
      </c>
      <c r="AS136" s="88">
        <f>('June 2024 YTD'!AR136*2)*1.03</f>
        <v>0</v>
      </c>
      <c r="AT136" s="8">
        <f>('June 2024 YTD'!AS136*2)*1.03</f>
        <v>0</v>
      </c>
      <c r="AU136" s="88">
        <f>('June 2024 YTD'!AT136*2)*1.03</f>
        <v>0</v>
      </c>
      <c r="AV136" s="88">
        <f>('June 2024 YTD'!AU136*2)*1.03</f>
        <v>0</v>
      </c>
      <c r="AW136" s="8">
        <f>('June 2024 YTD'!AV136*2)*1.03</f>
        <v>0</v>
      </c>
      <c r="AX136" s="8">
        <f>('June 2024 YTD'!AW136*2)*1.03</f>
        <v>0</v>
      </c>
      <c r="AY136" s="88">
        <f>('June 2024 YTD'!AX136*2)*1.03</f>
        <v>0</v>
      </c>
      <c r="AZ136" s="8">
        <f>('June 2024 YTD'!AY136*2)*1.03</f>
        <v>0</v>
      </c>
      <c r="BA136" s="8">
        <f>('June 2024 YTD'!AZ136*2)*1.03</f>
        <v>0</v>
      </c>
      <c r="BB136" s="8">
        <f>('June 2024 YTD'!BA136*2)*1.03</f>
        <v>739.54</v>
      </c>
      <c r="BC136" s="88">
        <f>('June 2024 YTD'!BB136*2)*1.03</f>
        <v>0</v>
      </c>
      <c r="BD136" s="88">
        <f>('June 2024 YTD'!BC136*2)*1.03</f>
        <v>0</v>
      </c>
      <c r="BE136" s="88">
        <f>('June 2024 YTD'!BD136*2)*1.03</f>
        <v>0</v>
      </c>
      <c r="BF136" s="88">
        <f>('June 2024 YTD'!BE136*2)*1.03</f>
        <v>0</v>
      </c>
      <c r="BG136" s="8">
        <f>('June 2024 YTD'!BF136*2)*1.03</f>
        <v>0</v>
      </c>
      <c r="BH136" s="8">
        <f>('June 2024 YTD'!BG136*2)*1.03</f>
        <v>0</v>
      </c>
      <c r="BI136" s="8">
        <f>('June 2024 YTD'!BH136*2)*1.03</f>
        <v>0</v>
      </c>
      <c r="BJ136" s="8">
        <f>('June 2024 YTD'!BI136*2)*1.03</f>
        <v>0</v>
      </c>
      <c r="BK136" s="8">
        <f>('June 2024 YTD'!BJ136*2)*1.03</f>
        <v>0</v>
      </c>
      <c r="BL136" s="8">
        <f>('June 2024 YTD'!BK136*2)*1.03</f>
        <v>0</v>
      </c>
      <c r="BM136" s="8">
        <f>('June 2024 YTD'!BL136*2)*1.03</f>
        <v>0</v>
      </c>
      <c r="BN136" s="8">
        <f>('June 2024 YTD'!BM136*2)*1.03</f>
        <v>0</v>
      </c>
      <c r="BO136" s="8">
        <f>('June 2024 YTD'!BN136*2)*1.03</f>
        <v>0</v>
      </c>
      <c r="BP136" s="8">
        <f>('June 2024 YTD'!BO136*2)*1.03</f>
        <v>0</v>
      </c>
      <c r="BQ136" s="8">
        <f>('June 2024 YTD'!BP136*2)*1.03</f>
        <v>0</v>
      </c>
      <c r="BR136" s="8">
        <f>('June 2024 YTD'!BQ136*2)*1.03</f>
        <v>0</v>
      </c>
      <c r="BS136" s="8">
        <f>('June 2024 YTD'!BR136*2)*1.03</f>
        <v>0</v>
      </c>
      <c r="BT136" s="8">
        <f>('June 2024 YTD'!BS136*2)*1.03</f>
        <v>0</v>
      </c>
      <c r="BU136" s="8">
        <f>('June 2024 YTD'!BT136*2)*1.03</f>
        <v>0</v>
      </c>
      <c r="BV136" s="8">
        <f>('June 2024 YTD'!BU136*2)*1.03</f>
        <v>0</v>
      </c>
      <c r="BW136" s="8">
        <f>('June 2024 YTD'!BV136*2)*1.03</f>
        <v>0</v>
      </c>
      <c r="BX136" s="88">
        <f>('June 2024 YTD'!BW136*2)*1.03</f>
        <v>0</v>
      </c>
      <c r="BY136" s="88">
        <f>('June 2024 YTD'!BX136*2)*1.03</f>
        <v>0</v>
      </c>
      <c r="BZ136" s="88">
        <f>('June 2024 YTD'!BY136*2)*1.03</f>
        <v>0</v>
      </c>
      <c r="CA136" s="8">
        <f t="shared" si="134"/>
        <v>986.49279999999999</v>
      </c>
      <c r="CB136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36" s="85" t="e">
        <f t="shared" si="126"/>
        <v>#REF!</v>
      </c>
    </row>
    <row r="137" spans="1:81">
      <c r="A137" s="22" t="s">
        <v>214</v>
      </c>
      <c r="B137" s="8">
        <v>0</v>
      </c>
      <c r="C137" s="8">
        <f>('June 2024 YTD'!C137*2)*1.03</f>
        <v>0</v>
      </c>
      <c r="D137" s="8">
        <f>('June 2024 YTD'!D137*2)*1.03</f>
        <v>0</v>
      </c>
      <c r="E137" s="8">
        <f>('June 2024 YTD'!E137*2)*1.03</f>
        <v>0</v>
      </c>
      <c r="F137" s="8">
        <f>('June 2024 YTD'!F137*2)*1.03</f>
        <v>0</v>
      </c>
      <c r="G137" s="8">
        <f>('June 2024 YTD'!G137*2)*1.03</f>
        <v>0</v>
      </c>
      <c r="H137" s="8">
        <f>('June 2024 YTD'!H137*2)*1.03</f>
        <v>0</v>
      </c>
      <c r="I137" s="8">
        <f>('June 2024 YTD'!I137*2)*1.03</f>
        <v>0</v>
      </c>
      <c r="J137" s="8">
        <f>('June 2024 YTD'!J137*2)*1.03</f>
        <v>0</v>
      </c>
      <c r="K137" s="8">
        <f>('June 2024 YTD'!K137*2)*1.03</f>
        <v>0</v>
      </c>
      <c r="L137" s="8">
        <f>('June 2024 YTD'!L137*2)*1.03</f>
        <v>0</v>
      </c>
      <c r="M137" s="8">
        <f>('June 2024 YTD'!M137*2)*1.03</f>
        <v>0</v>
      </c>
      <c r="N137" s="8">
        <f>('June 2024 YTD'!N137*2)*1.03</f>
        <v>0</v>
      </c>
      <c r="O137" s="8">
        <f>('June 2024 YTD'!O137*2)*1.03</f>
        <v>0</v>
      </c>
      <c r="P137" s="8">
        <f>('June 2024 YTD'!P137*2)*1.03</f>
        <v>0</v>
      </c>
      <c r="Q137" s="8">
        <f>('June 2024 YTD'!Q137*2)*1.03</f>
        <v>0</v>
      </c>
      <c r="R137" s="8">
        <f>('June 2024 YTD'!R137*2)*1.03</f>
        <v>0</v>
      </c>
      <c r="S137" s="8">
        <f>('June 2024 YTD'!S137*2)*1.03</f>
        <v>0</v>
      </c>
      <c r="T137" s="8">
        <f>('June 2024 YTD'!T137*2)*1.03</f>
        <v>0</v>
      </c>
      <c r="U137" s="8">
        <f>('June 2024 YTD'!U137*2)*1.03</f>
        <v>0</v>
      </c>
      <c r="V137" s="8">
        <f>('June 2024 YTD'!V137*2)*1.03</f>
        <v>0</v>
      </c>
      <c r="W137" s="8">
        <f>('June 2024 YTD'!W137*2)*1.03</f>
        <v>0</v>
      </c>
      <c r="X137" s="8">
        <f>('June 2024 YTD'!X137*2)*1.03</f>
        <v>0</v>
      </c>
      <c r="Y137" s="8">
        <f>('June 2024 YTD'!Y137*2)*1.03</f>
        <v>0</v>
      </c>
      <c r="Z137" s="8">
        <f>('June 2024 YTD'!Z137*2)*1.03</f>
        <v>0</v>
      </c>
      <c r="AA137" s="8">
        <f>('June 2024 YTD'!AA137*2)*1.03</f>
        <v>0</v>
      </c>
      <c r="AB137" s="8">
        <f>('June 2024 YTD'!AB137*2)*1.03</f>
        <v>0</v>
      </c>
      <c r="AC137" s="8">
        <f>('June 2024 YTD'!AC137*2)*1.03</f>
        <v>0</v>
      </c>
      <c r="AD137" s="8">
        <f>('June 2024 YTD'!AD137*2)*1.03</f>
        <v>0</v>
      </c>
      <c r="AE137" s="8">
        <v>0</v>
      </c>
      <c r="AF137" s="8">
        <f>('June 2024 YTD'!AE137*2)*1.03</f>
        <v>0</v>
      </c>
      <c r="AG137" s="8">
        <f>('June 2024 YTD'!AF137*2)*1.03</f>
        <v>0</v>
      </c>
      <c r="AH137" s="8">
        <f>('June 2024 YTD'!AG137*2)*1.03</f>
        <v>0</v>
      </c>
      <c r="AI137" s="8">
        <f>('June 2024 YTD'!AH137*2)*1.03</f>
        <v>0</v>
      </c>
      <c r="AJ137" s="88">
        <f>('June 2024 YTD'!AI137*2)*1.03</f>
        <v>0</v>
      </c>
      <c r="AK137" s="88">
        <f>('June 2024 YTD'!AJ137*2)*1.03</f>
        <v>0</v>
      </c>
      <c r="AL137" s="88">
        <f>('June 2024 YTD'!AK137*2)*1.03</f>
        <v>0</v>
      </c>
      <c r="AM137" s="88">
        <f>('June 2024 YTD'!AL137*2)*1.03</f>
        <v>0</v>
      </c>
      <c r="AN137" s="88">
        <f>('June 2024 YTD'!AM137*2)*1.03</f>
        <v>0</v>
      </c>
      <c r="AO137" s="88">
        <f>('June 2024 YTD'!AN137*2)*1.03</f>
        <v>0</v>
      </c>
      <c r="AP137" s="88">
        <f>('June 2024 YTD'!AO137*2)*1.03</f>
        <v>0</v>
      </c>
      <c r="AQ137" s="8">
        <f>('June 2024 YTD'!AP137*2)*1.03</f>
        <v>0</v>
      </c>
      <c r="AR137" s="8">
        <f>('June 2024 YTD'!AQ137*2)*1.03</f>
        <v>0</v>
      </c>
      <c r="AS137" s="88">
        <f>('June 2024 YTD'!AR137*2)*1.03</f>
        <v>0</v>
      </c>
      <c r="AT137" s="8">
        <f>('June 2024 YTD'!AS137*2)*1.03</f>
        <v>0</v>
      </c>
      <c r="AU137" s="88">
        <f>('June 2024 YTD'!AT137*2)*1.03</f>
        <v>0</v>
      </c>
      <c r="AV137" s="88">
        <f>('June 2024 YTD'!AU137*2)*1.03</f>
        <v>0</v>
      </c>
      <c r="AW137" s="8">
        <f>('June 2024 YTD'!AV137*2)*1.03</f>
        <v>0</v>
      </c>
      <c r="AX137" s="8">
        <f>('June 2024 YTD'!AW137*2)*1.03</f>
        <v>0</v>
      </c>
      <c r="AY137" s="88">
        <f>('June 2024 YTD'!AX137*2)*1.03</f>
        <v>0</v>
      </c>
      <c r="AZ137" s="8">
        <f>('June 2024 YTD'!AY137*2)*1.03</f>
        <v>0</v>
      </c>
      <c r="BA137" s="8">
        <f>('June 2024 YTD'!AZ137*2)*1.03</f>
        <v>0</v>
      </c>
      <c r="BB137" s="8">
        <f>('June 2024 YTD'!BA137*2)*1.03</f>
        <v>2491.0138000000002</v>
      </c>
      <c r="BC137" s="88">
        <f>('June 2024 YTD'!BB137*2)*1.03</f>
        <v>0</v>
      </c>
      <c r="BD137" s="88">
        <f>('June 2024 YTD'!BC137*2)*1.03</f>
        <v>0</v>
      </c>
      <c r="BE137" s="88">
        <f>('June 2024 YTD'!BD137*2)*1.03</f>
        <v>0</v>
      </c>
      <c r="BF137" s="88">
        <f>('June 2024 YTD'!BE137*2)*1.03</f>
        <v>0</v>
      </c>
      <c r="BG137" s="8">
        <f>('June 2024 YTD'!BF137*2)*1.03</f>
        <v>0</v>
      </c>
      <c r="BH137" s="8">
        <f>('June 2024 YTD'!BG137*2)*1.03</f>
        <v>0</v>
      </c>
      <c r="BI137" s="8">
        <f>('June 2024 YTD'!BH137*2)*1.03</f>
        <v>0</v>
      </c>
      <c r="BJ137" s="8">
        <f>('June 2024 YTD'!BI137*2)*1.03</f>
        <v>0</v>
      </c>
      <c r="BK137" s="8">
        <f>('June 2024 YTD'!BJ137*2)*1.03</f>
        <v>0</v>
      </c>
      <c r="BL137" s="8">
        <f>('June 2024 YTD'!BK137*2)*1.03</f>
        <v>0</v>
      </c>
      <c r="BM137" s="8">
        <f>('June 2024 YTD'!BL137*2)*1.03</f>
        <v>0</v>
      </c>
      <c r="BN137" s="8">
        <f>('June 2024 YTD'!BM137*2)*1.03</f>
        <v>0</v>
      </c>
      <c r="BO137" s="8">
        <f>('June 2024 YTD'!BN137*2)*1.03</f>
        <v>0</v>
      </c>
      <c r="BP137" s="8">
        <f>('June 2024 YTD'!BO137*2)*1.03</f>
        <v>0</v>
      </c>
      <c r="BQ137" s="8">
        <f>('June 2024 YTD'!BP137*2)*1.03</f>
        <v>0</v>
      </c>
      <c r="BR137" s="8">
        <f>('June 2024 YTD'!BQ137*2)*1.03</f>
        <v>0</v>
      </c>
      <c r="BS137" s="8">
        <f>('June 2024 YTD'!BR137*2)*1.03</f>
        <v>0</v>
      </c>
      <c r="BT137" s="8">
        <f>('June 2024 YTD'!BS137*2)*1.03</f>
        <v>0</v>
      </c>
      <c r="BU137" s="8">
        <f>('June 2024 YTD'!BT137*2)*1.03</f>
        <v>0</v>
      </c>
      <c r="BV137" s="8">
        <f>('June 2024 YTD'!BU137*2)*1.03</f>
        <v>0</v>
      </c>
      <c r="BW137" s="8">
        <f>('June 2024 YTD'!BV137*2)*1.03</f>
        <v>0</v>
      </c>
      <c r="BX137" s="88">
        <f>('June 2024 YTD'!BW137*2)*1.03</f>
        <v>0</v>
      </c>
      <c r="BY137" s="88">
        <f>('June 2024 YTD'!BX137*2)*1.03</f>
        <v>0</v>
      </c>
      <c r="BZ137" s="88">
        <f>('June 2024 YTD'!BY137*2)*1.03</f>
        <v>0</v>
      </c>
      <c r="CA137" s="8">
        <f t="shared" si="134"/>
        <v>2491.0138000000002</v>
      </c>
      <c r="CB137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37" s="85" t="e">
        <f t="shared" si="126"/>
        <v>#REF!</v>
      </c>
    </row>
    <row r="138" spans="1:81">
      <c r="A138" s="6" t="s">
        <v>215</v>
      </c>
      <c r="B138" s="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87"/>
      <c r="AK138" s="87"/>
      <c r="AL138" s="87"/>
      <c r="AM138" s="87"/>
      <c r="AN138" s="87"/>
      <c r="AO138" s="87"/>
      <c r="AP138" s="87"/>
      <c r="AQ138" s="4"/>
      <c r="AR138" s="4"/>
      <c r="AS138" s="87"/>
      <c r="AT138" s="4"/>
      <c r="AU138" s="87"/>
      <c r="AV138" s="87"/>
      <c r="AW138" s="4"/>
      <c r="AX138" s="4"/>
      <c r="AY138" s="87"/>
      <c r="AZ138" s="4"/>
      <c r="BA138" s="4"/>
      <c r="BB138" s="4"/>
      <c r="BC138" s="87"/>
      <c r="BD138" s="87"/>
      <c r="BE138" s="87"/>
      <c r="BF138" s="87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87"/>
      <c r="BY138" s="87"/>
      <c r="BZ138" s="87"/>
      <c r="CA138" s="4"/>
      <c r="CC138" s="85"/>
    </row>
    <row r="139" spans="1:81">
      <c r="A139" s="78" t="s">
        <v>216</v>
      </c>
      <c r="B139" s="8">
        <v>0</v>
      </c>
      <c r="C139" s="8">
        <f>'June 2024 YTD'!C139*2</f>
        <v>0</v>
      </c>
      <c r="D139" s="8">
        <f>'June 2024 YTD'!D139*2</f>
        <v>0</v>
      </c>
      <c r="E139" s="8">
        <f>'June 2024 YTD'!E139*2</f>
        <v>0</v>
      </c>
      <c r="F139" s="8">
        <f>'June 2024 YTD'!F139*2</f>
        <v>0</v>
      </c>
      <c r="G139" s="8">
        <f>'June 2024 YTD'!G139*2</f>
        <v>0</v>
      </c>
      <c r="H139" s="8">
        <f>'June 2024 YTD'!H139*2</f>
        <v>0</v>
      </c>
      <c r="I139" s="8">
        <f>'June 2024 YTD'!I139*2</f>
        <v>0</v>
      </c>
      <c r="J139" s="8">
        <f>'June 2024 YTD'!J139*2</f>
        <v>0</v>
      </c>
      <c r="K139" s="8">
        <f>'June 2024 YTD'!K139*2</f>
        <v>0</v>
      </c>
      <c r="L139" s="8">
        <f>'June 2024 YTD'!L139*2</f>
        <v>0</v>
      </c>
      <c r="M139" s="8">
        <f>'June 2024 YTD'!M139*2</f>
        <v>0</v>
      </c>
      <c r="N139" s="8">
        <f>'June 2024 YTD'!N139*2</f>
        <v>0</v>
      </c>
      <c r="O139" s="8">
        <f>'June 2024 YTD'!O139*2</f>
        <v>0</v>
      </c>
      <c r="P139" s="8">
        <f>'June 2024 YTD'!P139*2</f>
        <v>0</v>
      </c>
      <c r="Q139" s="8">
        <f>'June 2024 YTD'!Q139*2</f>
        <v>0</v>
      </c>
      <c r="R139" s="8">
        <f>'June 2024 YTD'!R139*2</f>
        <v>0</v>
      </c>
      <c r="S139" s="8">
        <f>'June 2024 YTD'!S139*2</f>
        <v>0</v>
      </c>
      <c r="T139" s="8">
        <f>'June 2024 YTD'!T139*2</f>
        <v>0</v>
      </c>
      <c r="U139" s="8">
        <f>'June 2024 YTD'!U139*2</f>
        <v>0</v>
      </c>
      <c r="V139" s="8">
        <f>'June 2024 YTD'!V139*2</f>
        <v>0</v>
      </c>
      <c r="W139" s="8">
        <f>'June 2024 YTD'!W139*2</f>
        <v>0</v>
      </c>
      <c r="X139" s="8">
        <f>'June 2024 YTD'!X139*2</f>
        <v>0</v>
      </c>
      <c r="Y139" s="8">
        <f>'June 2024 YTD'!Y139*2</f>
        <v>0</v>
      </c>
      <c r="Z139" s="8">
        <f>'June 2024 YTD'!Z139*2</f>
        <v>0</v>
      </c>
      <c r="AA139" s="8">
        <f>'June 2024 YTD'!AA139*2</f>
        <v>0</v>
      </c>
      <c r="AB139" s="8">
        <f>'June 2024 YTD'!AB139*2</f>
        <v>0</v>
      </c>
      <c r="AC139" s="8">
        <f>'June 2024 YTD'!AC139*2</f>
        <v>0</v>
      </c>
      <c r="AD139" s="8">
        <f>'June 2024 YTD'!AD139*2</f>
        <v>0</v>
      </c>
      <c r="AE139" s="8">
        <v>0</v>
      </c>
      <c r="AF139" s="8">
        <f>'June 2024 YTD'!AE139*2</f>
        <v>0</v>
      </c>
      <c r="AG139" s="8">
        <f>'June 2024 YTD'!AF139*2</f>
        <v>0</v>
      </c>
      <c r="AH139" s="8">
        <f>'June 2024 YTD'!AG139*2</f>
        <v>0</v>
      </c>
      <c r="AI139" s="8">
        <v>0</v>
      </c>
      <c r="AJ139" s="88">
        <v>0</v>
      </c>
      <c r="AK139" s="88">
        <v>0</v>
      </c>
      <c r="AL139" s="88">
        <v>0</v>
      </c>
      <c r="AM139" s="88">
        <v>0</v>
      </c>
      <c r="AN139" s="88">
        <v>0</v>
      </c>
      <c r="AO139" s="88">
        <v>0</v>
      </c>
      <c r="AP139" s="88">
        <v>0</v>
      </c>
      <c r="AQ139" s="8">
        <f>'June 2024 YTD'!AP139*2</f>
        <v>0</v>
      </c>
      <c r="AR139" s="8">
        <f>'June 2024 YTD'!AQ139*2</f>
        <v>0</v>
      </c>
      <c r="AS139" s="88">
        <v>0</v>
      </c>
      <c r="AT139" s="8">
        <f>'June 2024 YTD'!AS139*2</f>
        <v>0</v>
      </c>
      <c r="AU139" s="88">
        <v>0</v>
      </c>
      <c r="AV139" s="88">
        <v>0</v>
      </c>
      <c r="AW139" s="8">
        <f>'June 2024 YTD'!AV139*2</f>
        <v>0</v>
      </c>
      <c r="AX139" s="8">
        <f>'June 2024 YTD'!AW139*2</f>
        <v>0</v>
      </c>
      <c r="AY139" s="88">
        <v>0</v>
      </c>
      <c r="AZ139" s="8">
        <f>'June 2024 YTD'!AY139*2</f>
        <v>0</v>
      </c>
      <c r="BA139" s="8">
        <f>'June 2024 YTD'!AZ139*2</f>
        <v>0</v>
      </c>
      <c r="BB139" s="8">
        <f>'June 2024 YTD'!BA139*2</f>
        <v>0</v>
      </c>
      <c r="BC139" s="88">
        <v>0</v>
      </c>
      <c r="BD139" s="88">
        <v>0</v>
      </c>
      <c r="BE139" s="88">
        <v>0</v>
      </c>
      <c r="BF139" s="88">
        <v>0</v>
      </c>
      <c r="BG139" s="8">
        <f>'June 2024 YTD'!BF139*2</f>
        <v>0</v>
      </c>
      <c r="BH139" s="8">
        <f>'June 2024 YTD'!BG139*2</f>
        <v>0</v>
      </c>
      <c r="BI139" s="8">
        <f>'June 2024 YTD'!BH139*2</f>
        <v>0</v>
      </c>
      <c r="BJ139" s="93">
        <f>('June 2024 YTD'!BI139*2)+294647.08+365.08+386652</f>
        <v>1945628.0000000002</v>
      </c>
      <c r="BK139" s="93">
        <f>('June 2024 YTD'!BJ139*2)-159649.15+274.43</f>
        <v>720005.1</v>
      </c>
      <c r="BL139" s="93">
        <f>('June 2024 YTD'!BK139*2)+502751.26</f>
        <v>2988687</v>
      </c>
      <c r="BM139" s="93">
        <f>('June 2024 YTD'!BL139*2)-2158.41-303.11</f>
        <v>32438.44</v>
      </c>
      <c r="BN139" s="8">
        <f>'June 2024 YTD'!BM139*2</f>
        <v>17658.38</v>
      </c>
      <c r="BO139" s="93">
        <f>('June 2024 YTD'!BN139*2)+409179.88+6622.83-50587</f>
        <v>1289809.71</v>
      </c>
      <c r="BP139" s="93">
        <f>('June 2024 YTD'!BO139*2)-77017.72+1119.26</f>
        <v>69591.539999999994</v>
      </c>
      <c r="BQ139" s="93">
        <f>('June 2024 YTD'!BP139*2)-353379.4-455.85</f>
        <v>346786.75</v>
      </c>
      <c r="BR139" s="93">
        <f>('June 2024 YTD'!BQ139*2)-100182.21+34.17-95846</f>
        <v>171691.3</v>
      </c>
      <c r="BS139" s="8">
        <f>'June 2024 YTD'!BR139*2</f>
        <v>563515.78</v>
      </c>
      <c r="BT139" s="93">
        <f>('June 2024 YTD'!BS139*2)+318084.37+1172.43</f>
        <v>1539216.14</v>
      </c>
      <c r="BU139" s="93">
        <f>('June 2024 YTD'!BT139*2)+22812.22</f>
        <v>313018.92000000004</v>
      </c>
      <c r="BV139" s="93">
        <f>('June 2024 YTD'!BU139*2)-205806.04</f>
        <v>256924.99999999997</v>
      </c>
      <c r="BW139" s="93">
        <f>('June 2024 YTD'!BV139*2)+230238.46</f>
        <v>460917</v>
      </c>
      <c r="BX139" s="88">
        <v>0</v>
      </c>
      <c r="BY139" s="88">
        <v>0</v>
      </c>
      <c r="BZ139" s="88">
        <v>0</v>
      </c>
      <c r="CA139" s="8">
        <f t="shared" si="134"/>
        <v>10715889.060000001</v>
      </c>
      <c r="CB139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39" s="85" t="e">
        <f t="shared" ref="CC139:CC140" si="138">CA139-CB139</f>
        <v>#REF!</v>
      </c>
    </row>
    <row r="140" spans="1:81">
      <c r="A140" s="78" t="s">
        <v>217</v>
      </c>
      <c r="B140" s="8">
        <v>0</v>
      </c>
      <c r="C140" s="8">
        <f>'June 2024 YTD'!C140*2</f>
        <v>0</v>
      </c>
      <c r="D140" s="8">
        <f>'June 2024 YTD'!D140*2</f>
        <v>0</v>
      </c>
      <c r="E140" s="8">
        <f>'June 2024 YTD'!E140*2</f>
        <v>0</v>
      </c>
      <c r="F140" s="8">
        <f>'June 2024 YTD'!F140*2</f>
        <v>0</v>
      </c>
      <c r="G140" s="8">
        <f>'June 2024 YTD'!G140*2</f>
        <v>0</v>
      </c>
      <c r="H140" s="8">
        <f>'June 2024 YTD'!H140*2</f>
        <v>0</v>
      </c>
      <c r="I140" s="8">
        <f>'June 2024 YTD'!I140*2</f>
        <v>0</v>
      </c>
      <c r="J140" s="8">
        <f>'June 2024 YTD'!J140*2</f>
        <v>0</v>
      </c>
      <c r="K140" s="8">
        <f>'June 2024 YTD'!K140*2</f>
        <v>0</v>
      </c>
      <c r="L140" s="8">
        <f>'June 2024 YTD'!L140*2</f>
        <v>0</v>
      </c>
      <c r="M140" s="8">
        <f>'June 2024 YTD'!M140*2</f>
        <v>0</v>
      </c>
      <c r="N140" s="8">
        <f>'June 2024 YTD'!N140*2</f>
        <v>0</v>
      </c>
      <c r="O140" s="8">
        <f>'June 2024 YTD'!O140*2</f>
        <v>0</v>
      </c>
      <c r="P140" s="8">
        <f>'June 2024 YTD'!P140*2</f>
        <v>0</v>
      </c>
      <c r="Q140" s="8">
        <f>'June 2024 YTD'!Q140*2</f>
        <v>0</v>
      </c>
      <c r="R140" s="8">
        <f>'June 2024 YTD'!R140*2</f>
        <v>0</v>
      </c>
      <c r="S140" s="8">
        <f>'June 2024 YTD'!S140*2</f>
        <v>0</v>
      </c>
      <c r="T140" s="8">
        <f>'June 2024 YTD'!T140*2</f>
        <v>0</v>
      </c>
      <c r="U140" s="8">
        <f>'June 2024 YTD'!U140*2</f>
        <v>0</v>
      </c>
      <c r="V140" s="8">
        <f>'June 2024 YTD'!V140*2</f>
        <v>0</v>
      </c>
      <c r="W140" s="8">
        <f>'June 2024 YTD'!W140*2</f>
        <v>0</v>
      </c>
      <c r="X140" s="8">
        <f>'June 2024 YTD'!X140*2</f>
        <v>0</v>
      </c>
      <c r="Y140" s="8">
        <f>'June 2024 YTD'!Y140*2</f>
        <v>0</v>
      </c>
      <c r="Z140" s="8">
        <f>'June 2024 YTD'!Z140*2</f>
        <v>0</v>
      </c>
      <c r="AA140" s="8">
        <f>'June 2024 YTD'!AA140*2</f>
        <v>0</v>
      </c>
      <c r="AB140" s="8">
        <f>'June 2024 YTD'!AB140*2</f>
        <v>0</v>
      </c>
      <c r="AC140" s="8">
        <f>'June 2024 YTD'!AC140*2</f>
        <v>0</v>
      </c>
      <c r="AD140" s="8">
        <f>'June 2024 YTD'!AD140*2</f>
        <v>0</v>
      </c>
      <c r="AE140" s="8">
        <v>0</v>
      </c>
      <c r="AF140" s="8">
        <f>'June 2024 YTD'!AE140*2</f>
        <v>0</v>
      </c>
      <c r="AG140" s="8">
        <f>'June 2024 YTD'!AF140*2</f>
        <v>0</v>
      </c>
      <c r="AH140" s="8">
        <f>'June 2024 YTD'!AG140*2</f>
        <v>0</v>
      </c>
      <c r="AI140" s="8">
        <v>0</v>
      </c>
      <c r="AJ140" s="88">
        <v>0</v>
      </c>
      <c r="AK140" s="88">
        <v>0</v>
      </c>
      <c r="AL140" s="88">
        <v>0</v>
      </c>
      <c r="AM140" s="88">
        <v>0</v>
      </c>
      <c r="AN140" s="88">
        <v>0</v>
      </c>
      <c r="AO140" s="88">
        <v>0</v>
      </c>
      <c r="AP140" s="88">
        <v>0</v>
      </c>
      <c r="AQ140" s="8">
        <f>'June 2024 YTD'!AP140*2</f>
        <v>0</v>
      </c>
      <c r="AR140" s="8">
        <f>'June 2024 YTD'!AQ140*2</f>
        <v>5.88</v>
      </c>
      <c r="AS140" s="88">
        <v>0</v>
      </c>
      <c r="AT140" s="8">
        <f>'June 2024 YTD'!AS140*2</f>
        <v>0</v>
      </c>
      <c r="AU140" s="88">
        <v>0</v>
      </c>
      <c r="AV140" s="88">
        <v>0</v>
      </c>
      <c r="AW140" s="8">
        <f>'June 2024 YTD'!AV140*2</f>
        <v>0</v>
      </c>
      <c r="AX140" s="8">
        <f>'June 2024 YTD'!AW140*2</f>
        <v>0</v>
      </c>
      <c r="AY140" s="88">
        <v>0</v>
      </c>
      <c r="AZ140" s="8">
        <f>'June 2024 YTD'!AY140*2</f>
        <v>0</v>
      </c>
      <c r="BA140" s="8">
        <f>'June 2024 YTD'!AZ140*2</f>
        <v>0</v>
      </c>
      <c r="BB140" s="8">
        <f>'June 2024 YTD'!BA140*2</f>
        <v>-2160</v>
      </c>
      <c r="BC140" s="88">
        <v>0</v>
      </c>
      <c r="BD140" s="88">
        <v>0</v>
      </c>
      <c r="BE140" s="88">
        <v>0</v>
      </c>
      <c r="BF140" s="88">
        <v>0</v>
      </c>
      <c r="BG140" s="8">
        <f>'June 2024 YTD'!BF140*2</f>
        <v>0</v>
      </c>
      <c r="BH140" s="8">
        <f>'June 2024 YTD'!BG140*2</f>
        <v>0</v>
      </c>
      <c r="BI140" s="8">
        <f>'June 2024 YTD'!BH140*2</f>
        <v>0</v>
      </c>
      <c r="BJ140" s="8">
        <f>'June 2024 YTD'!BI140*2</f>
        <v>0</v>
      </c>
      <c r="BK140" s="8">
        <f>'June 2024 YTD'!BJ140*2</f>
        <v>0</v>
      </c>
      <c r="BL140" s="8">
        <f>'June 2024 YTD'!BK140*2</f>
        <v>0</v>
      </c>
      <c r="BM140" s="8">
        <f>'June 2024 YTD'!BL140*2</f>
        <v>0</v>
      </c>
      <c r="BN140" s="93">
        <f>('June 2024 YTD'!BM140*2)-8310.25+1052.99</f>
        <v>616465.62</v>
      </c>
      <c r="BO140" s="8">
        <f>'June 2024 YTD'!BN140*2</f>
        <v>0</v>
      </c>
      <c r="BP140" s="8">
        <f>'June 2024 YTD'!BO140*2</f>
        <v>0</v>
      </c>
      <c r="BQ140" s="8">
        <f>'June 2024 YTD'!BP140*2</f>
        <v>0</v>
      </c>
      <c r="BR140" s="8">
        <f>'June 2024 YTD'!BQ140*2</f>
        <v>0</v>
      </c>
      <c r="BS140" s="93">
        <f>('June 2024 YTD'!BR140*2)-683164.79-449.74</f>
        <v>3863324.6099999994</v>
      </c>
      <c r="BT140" s="8">
        <f>'June 2024 YTD'!BS140*2</f>
        <v>7291389.9000000004</v>
      </c>
      <c r="BU140" s="8">
        <f>'June 2024 YTD'!BT140*2</f>
        <v>447159.08</v>
      </c>
      <c r="BV140" s="8">
        <f>'June 2024 YTD'!BU140*2</f>
        <v>0</v>
      </c>
      <c r="BW140" s="8">
        <f>'June 2024 YTD'!BV140*2</f>
        <v>0</v>
      </c>
      <c r="BX140" s="88">
        <v>0</v>
      </c>
      <c r="BY140" s="88">
        <v>0</v>
      </c>
      <c r="BZ140" s="88">
        <v>0</v>
      </c>
      <c r="CA140" s="8">
        <f t="shared" si="134"/>
        <v>12216185.09</v>
      </c>
      <c r="CB140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40" s="85" t="e">
        <f t="shared" si="138"/>
        <v>#REF!</v>
      </c>
    </row>
    <row r="141" spans="1:81">
      <c r="A141" s="15" t="s">
        <v>218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87"/>
      <c r="AK141" s="87"/>
      <c r="AL141" s="87"/>
      <c r="AM141" s="87"/>
      <c r="AN141" s="87"/>
      <c r="AO141" s="87"/>
      <c r="AP141" s="87"/>
      <c r="AQ141" s="4"/>
      <c r="AR141" s="4"/>
      <c r="AS141" s="87"/>
      <c r="AT141" s="4"/>
      <c r="AU141" s="87"/>
      <c r="AV141" s="87"/>
      <c r="AW141" s="4"/>
      <c r="AX141" s="4"/>
      <c r="AY141" s="87"/>
      <c r="AZ141" s="4"/>
      <c r="BA141" s="4"/>
      <c r="BB141" s="4"/>
      <c r="BC141" s="87"/>
      <c r="BD141" s="87"/>
      <c r="BE141" s="87"/>
      <c r="BF141" s="87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87"/>
      <c r="BY141" s="87"/>
      <c r="BZ141" s="87"/>
      <c r="CA141" s="4"/>
      <c r="CC141" s="85"/>
    </row>
    <row r="142" spans="1:81">
      <c r="A142" s="100" t="s">
        <v>219</v>
      </c>
      <c r="B142" s="8">
        <v>0</v>
      </c>
      <c r="C142" s="8">
        <f>('June 2024 YTD'!C142*2)*1.03</f>
        <v>0</v>
      </c>
      <c r="D142" s="8">
        <f>('June 2024 YTD'!D142*2)*1.03</f>
        <v>0</v>
      </c>
      <c r="E142" s="8">
        <f>('June 2024 YTD'!E142*2)*1.03</f>
        <v>0</v>
      </c>
      <c r="F142" s="8">
        <f>('June 2024 YTD'!F142*2)*1.03</f>
        <v>0</v>
      </c>
      <c r="G142" s="8">
        <f>('June 2024 YTD'!G142*2)*1.03</f>
        <v>0</v>
      </c>
      <c r="H142" s="8">
        <f>('June 2024 YTD'!H142*2)*1.03</f>
        <v>0</v>
      </c>
      <c r="I142" s="8">
        <f>('June 2024 YTD'!I142*2)*1.03</f>
        <v>0</v>
      </c>
      <c r="J142" s="8">
        <f>('June 2024 YTD'!J142*2)*1.03</f>
        <v>0</v>
      </c>
      <c r="K142" s="8">
        <f>('June 2024 YTD'!K142*2)*1.03</f>
        <v>0</v>
      </c>
      <c r="L142" s="8">
        <f>('June 2024 YTD'!L142*2)*1.03</f>
        <v>0</v>
      </c>
      <c r="M142" s="8">
        <f>('June 2024 YTD'!M142*2)*1.03</f>
        <v>0</v>
      </c>
      <c r="N142" s="8">
        <f>('June 2024 YTD'!N142*2)*1.03</f>
        <v>0</v>
      </c>
      <c r="O142" s="8">
        <f>('June 2024 YTD'!O142*2)*1.03</f>
        <v>0</v>
      </c>
      <c r="P142" s="8">
        <f>('June 2024 YTD'!P142*2)*1.03</f>
        <v>0</v>
      </c>
      <c r="Q142" s="8">
        <f>('June 2024 YTD'!Q142*2)*1.03</f>
        <v>0</v>
      </c>
      <c r="R142" s="8">
        <f>('June 2024 YTD'!R142*2)*1.03</f>
        <v>0</v>
      </c>
      <c r="S142" s="8">
        <f>('June 2024 YTD'!S142*2)*1.03</f>
        <v>0</v>
      </c>
      <c r="T142" s="8">
        <f>('June 2024 YTD'!T142*2)*1.03</f>
        <v>0</v>
      </c>
      <c r="U142" s="8">
        <f>('June 2024 YTD'!U142*2)*1.03</f>
        <v>0</v>
      </c>
      <c r="V142" s="8">
        <f>('June 2024 YTD'!V142*2)*1.03</f>
        <v>0</v>
      </c>
      <c r="W142" s="8">
        <f>('June 2024 YTD'!W142*2)*1.03</f>
        <v>0</v>
      </c>
      <c r="X142" s="8">
        <f>('June 2024 YTD'!X142*2)*1.03</f>
        <v>0</v>
      </c>
      <c r="Y142" s="8">
        <f>('June 2024 YTD'!Y142*2)*1.03</f>
        <v>0</v>
      </c>
      <c r="Z142" s="8">
        <f>('June 2024 YTD'!Z142*2)*1.03</f>
        <v>0</v>
      </c>
      <c r="AA142" s="8">
        <f>('June 2024 YTD'!AA142*2)*1.03</f>
        <v>0</v>
      </c>
      <c r="AB142" s="8">
        <f>('June 2024 YTD'!AB142*2)*1.03</f>
        <v>0</v>
      </c>
      <c r="AC142" s="8">
        <f>('June 2024 YTD'!AC142*2)*1.03</f>
        <v>0</v>
      </c>
      <c r="AD142" s="8">
        <f>('June 2024 YTD'!AD142*2)*1.03</f>
        <v>0</v>
      </c>
      <c r="AE142" s="8">
        <v>0</v>
      </c>
      <c r="AF142" s="8">
        <f>('June 2024 YTD'!AE142*2)*1.03</f>
        <v>0</v>
      </c>
      <c r="AG142" s="8">
        <f>('June 2024 YTD'!AF142*2)*1.03</f>
        <v>2587878.8522000001</v>
      </c>
      <c r="AH142" s="8">
        <f>('June 2024 YTD'!AG142*2)*1.03</f>
        <v>1057626.3922000001</v>
      </c>
      <c r="AI142" s="8">
        <f>('June 2024 YTD'!AH142*2)*1.03</f>
        <v>0</v>
      </c>
      <c r="AJ142" s="88">
        <f>('June 2024 YTD'!AI142*2)*1.03</f>
        <v>0</v>
      </c>
      <c r="AK142" s="88">
        <f>('June 2024 YTD'!AJ142*2)*1.03</f>
        <v>0</v>
      </c>
      <c r="AL142" s="88">
        <f>('June 2024 YTD'!AK142*2)*1.03</f>
        <v>0</v>
      </c>
      <c r="AM142" s="88">
        <f>('June 2024 YTD'!AL142*2)*1.03</f>
        <v>0</v>
      </c>
      <c r="AN142" s="88">
        <f>('June 2024 YTD'!AM142*2)*1.03</f>
        <v>0</v>
      </c>
      <c r="AO142" s="88">
        <f>('June 2024 YTD'!AN142*2)*1.03</f>
        <v>0</v>
      </c>
      <c r="AP142" s="88">
        <f>('June 2024 YTD'!AO142*2)*1.03</f>
        <v>0</v>
      </c>
      <c r="AQ142" s="8">
        <f>('June 2024 YTD'!AP142*2)*1.03</f>
        <v>0</v>
      </c>
      <c r="AR142" s="8">
        <f>('June 2024 YTD'!AQ142*2)*1.03</f>
        <v>0</v>
      </c>
      <c r="AS142" s="88">
        <f>('June 2024 YTD'!AR142*2)*1.03</f>
        <v>0</v>
      </c>
      <c r="AT142" s="8">
        <f>('June 2024 YTD'!AS142*2)*1.03</f>
        <v>0</v>
      </c>
      <c r="AU142" s="88">
        <f>('June 2024 YTD'!AT142*2)*1.03</f>
        <v>0</v>
      </c>
      <c r="AV142" s="88">
        <f>('June 2024 YTD'!AU142*2)*1.03</f>
        <v>0</v>
      </c>
      <c r="AW142" s="8">
        <f>('June 2024 YTD'!AV142*2)*1.03</f>
        <v>0</v>
      </c>
      <c r="AX142" s="8">
        <f>('June 2024 YTD'!AW142*2)*1.03</f>
        <v>0</v>
      </c>
      <c r="AY142" s="88">
        <f>('June 2024 YTD'!AX142*2)*1.03</f>
        <v>0</v>
      </c>
      <c r="AZ142" s="8">
        <f>('June 2024 YTD'!AY142*2)*1.03</f>
        <v>0</v>
      </c>
      <c r="BA142" s="8">
        <f>('June 2024 YTD'!AZ142*2)*1.03</f>
        <v>0</v>
      </c>
      <c r="BB142" s="8">
        <f>('June 2024 YTD'!BA142*2)*1.03</f>
        <v>0</v>
      </c>
      <c r="BC142" s="88">
        <f>('June 2024 YTD'!BB142*2)*1.03</f>
        <v>0</v>
      </c>
      <c r="BD142" s="88">
        <f>('June 2024 YTD'!BC142*2)*1.03</f>
        <v>0</v>
      </c>
      <c r="BE142" s="88">
        <f>('June 2024 YTD'!BD142*2)*1.03</f>
        <v>0</v>
      </c>
      <c r="BF142" s="88">
        <f>('June 2024 YTD'!BE142*2)*1.03</f>
        <v>0</v>
      </c>
      <c r="BG142" s="8">
        <f>('June 2024 YTD'!BF142*2)*1.03</f>
        <v>0</v>
      </c>
      <c r="BH142" s="8">
        <f>('June 2024 YTD'!BG142*2)*1.03</f>
        <v>0</v>
      </c>
      <c r="BI142" s="8">
        <f>('June 2024 YTD'!BH142*2)*1.03</f>
        <v>0</v>
      </c>
      <c r="BJ142" s="8">
        <f>('June 2024 YTD'!BI142*2)*1.03</f>
        <v>0</v>
      </c>
      <c r="BK142" s="8">
        <f>('June 2024 YTD'!BJ142*2)*1.03</f>
        <v>0</v>
      </c>
      <c r="BL142" s="8">
        <f>('June 2024 YTD'!BK142*2)*1.03</f>
        <v>0</v>
      </c>
      <c r="BM142" s="8">
        <f>('June 2024 YTD'!BL142*2)*1.03</f>
        <v>0</v>
      </c>
      <c r="BN142" s="8">
        <f>('June 2024 YTD'!BM142*2)*1.03</f>
        <v>0</v>
      </c>
      <c r="BO142" s="8">
        <f>('June 2024 YTD'!BN142*2)*1.03</f>
        <v>0</v>
      </c>
      <c r="BP142" s="8">
        <f>('June 2024 YTD'!BO142*2)*1.03</f>
        <v>0</v>
      </c>
      <c r="BQ142" s="8">
        <f>('June 2024 YTD'!BP142*2)*1.03</f>
        <v>0</v>
      </c>
      <c r="BR142" s="8">
        <f>('June 2024 YTD'!BQ142*2)*1.03</f>
        <v>0</v>
      </c>
      <c r="BS142" s="8">
        <f>('June 2024 YTD'!BR142*2)*1.03</f>
        <v>0</v>
      </c>
      <c r="BT142" s="8">
        <f>('June 2024 YTD'!BS142*2)*1.03</f>
        <v>0</v>
      </c>
      <c r="BU142" s="8">
        <f>('June 2024 YTD'!BT142*2)*1.03</f>
        <v>0</v>
      </c>
      <c r="BV142" s="8">
        <f>('June 2024 YTD'!BU142*2)*1.03</f>
        <v>0</v>
      </c>
      <c r="BW142" s="8">
        <f>('June 2024 YTD'!BV142*2)*1.03</f>
        <v>0</v>
      </c>
      <c r="BX142" s="88">
        <f>('June 2024 YTD'!BW142*2)*1.03</f>
        <v>0</v>
      </c>
      <c r="BY142" s="88">
        <f>('June 2024 YTD'!BX142*2)*1.03</f>
        <v>0</v>
      </c>
      <c r="BZ142" s="88">
        <f>('June 2024 YTD'!BY142*2)*1.03</f>
        <v>0</v>
      </c>
      <c r="CA142" s="8">
        <f t="shared" si="134"/>
        <v>3645505.2444000002</v>
      </c>
      <c r="CB142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42" s="85" t="e">
        <f t="shared" ref="CC142" si="139">CA142-CB142</f>
        <v>#REF!</v>
      </c>
    </row>
    <row r="143" spans="1:81">
      <c r="A143" s="17" t="s">
        <v>220</v>
      </c>
      <c r="B143" s="10">
        <f t="shared" ref="B143:BN143" si="140">SUM(B142)</f>
        <v>0</v>
      </c>
      <c r="C143" s="10">
        <f t="shared" si="140"/>
        <v>0</v>
      </c>
      <c r="D143" s="10">
        <f t="shared" si="140"/>
        <v>0</v>
      </c>
      <c r="E143" s="10">
        <f t="shared" si="140"/>
        <v>0</v>
      </c>
      <c r="F143" s="10">
        <f t="shared" si="140"/>
        <v>0</v>
      </c>
      <c r="G143" s="10">
        <f t="shared" si="140"/>
        <v>0</v>
      </c>
      <c r="H143" s="10">
        <f t="shared" si="140"/>
        <v>0</v>
      </c>
      <c r="I143" s="10">
        <f t="shared" si="140"/>
        <v>0</v>
      </c>
      <c r="J143" s="10">
        <f t="shared" si="140"/>
        <v>0</v>
      </c>
      <c r="K143" s="10">
        <f t="shared" si="140"/>
        <v>0</v>
      </c>
      <c r="L143" s="10">
        <f t="shared" si="140"/>
        <v>0</v>
      </c>
      <c r="M143" s="10">
        <f t="shared" si="140"/>
        <v>0</v>
      </c>
      <c r="N143" s="10">
        <f t="shared" si="140"/>
        <v>0</v>
      </c>
      <c r="O143" s="10">
        <f t="shared" si="140"/>
        <v>0</v>
      </c>
      <c r="P143" s="10">
        <f t="shared" si="140"/>
        <v>0</v>
      </c>
      <c r="Q143" s="10">
        <f t="shared" si="140"/>
        <v>0</v>
      </c>
      <c r="R143" s="10">
        <f t="shared" si="140"/>
        <v>0</v>
      </c>
      <c r="S143" s="10">
        <f t="shared" si="140"/>
        <v>0</v>
      </c>
      <c r="T143" s="10">
        <f t="shared" si="140"/>
        <v>0</v>
      </c>
      <c r="U143" s="10">
        <f t="shared" si="140"/>
        <v>0</v>
      </c>
      <c r="V143" s="10">
        <f t="shared" si="140"/>
        <v>0</v>
      </c>
      <c r="W143" s="10">
        <f t="shared" si="140"/>
        <v>0</v>
      </c>
      <c r="X143" s="10">
        <f t="shared" si="140"/>
        <v>0</v>
      </c>
      <c r="Y143" s="10">
        <f t="shared" si="140"/>
        <v>0</v>
      </c>
      <c r="Z143" s="10">
        <f t="shared" si="140"/>
        <v>0</v>
      </c>
      <c r="AA143" s="10">
        <f t="shared" si="140"/>
        <v>0</v>
      </c>
      <c r="AB143" s="10">
        <f t="shared" si="140"/>
        <v>0</v>
      </c>
      <c r="AC143" s="10">
        <f t="shared" si="140"/>
        <v>0</v>
      </c>
      <c r="AD143" s="10">
        <f t="shared" si="140"/>
        <v>0</v>
      </c>
      <c r="AE143" s="10">
        <f t="shared" ref="AE143" si="141">SUM(AE142)</f>
        <v>0</v>
      </c>
      <c r="AF143" s="10">
        <f t="shared" si="140"/>
        <v>0</v>
      </c>
      <c r="AG143" s="10">
        <f t="shared" si="140"/>
        <v>2587878.8522000001</v>
      </c>
      <c r="AH143" s="10">
        <f t="shared" si="140"/>
        <v>1057626.3922000001</v>
      </c>
      <c r="AI143" s="10">
        <f t="shared" si="140"/>
        <v>0</v>
      </c>
      <c r="AJ143" s="89">
        <f t="shared" si="140"/>
        <v>0</v>
      </c>
      <c r="AK143" s="89">
        <f t="shared" si="140"/>
        <v>0</v>
      </c>
      <c r="AL143" s="89">
        <f t="shared" si="140"/>
        <v>0</v>
      </c>
      <c r="AM143" s="89">
        <f t="shared" si="140"/>
        <v>0</v>
      </c>
      <c r="AN143" s="89">
        <f t="shared" si="140"/>
        <v>0</v>
      </c>
      <c r="AO143" s="89">
        <f t="shared" si="140"/>
        <v>0</v>
      </c>
      <c r="AP143" s="89">
        <f t="shared" si="140"/>
        <v>0</v>
      </c>
      <c r="AQ143" s="10">
        <f t="shared" si="140"/>
        <v>0</v>
      </c>
      <c r="AR143" s="10">
        <f t="shared" si="140"/>
        <v>0</v>
      </c>
      <c r="AS143" s="89">
        <f t="shared" si="140"/>
        <v>0</v>
      </c>
      <c r="AT143" s="10">
        <f t="shared" si="140"/>
        <v>0</v>
      </c>
      <c r="AU143" s="89">
        <f t="shared" si="140"/>
        <v>0</v>
      </c>
      <c r="AV143" s="89">
        <f t="shared" si="140"/>
        <v>0</v>
      </c>
      <c r="AW143" s="10">
        <f t="shared" si="140"/>
        <v>0</v>
      </c>
      <c r="AX143" s="10">
        <f t="shared" si="140"/>
        <v>0</v>
      </c>
      <c r="AY143" s="89">
        <f t="shared" si="140"/>
        <v>0</v>
      </c>
      <c r="AZ143" s="10">
        <f t="shared" si="140"/>
        <v>0</v>
      </c>
      <c r="BA143" s="10">
        <f t="shared" si="140"/>
        <v>0</v>
      </c>
      <c r="BB143" s="10">
        <f t="shared" si="140"/>
        <v>0</v>
      </c>
      <c r="BC143" s="89">
        <f t="shared" si="140"/>
        <v>0</v>
      </c>
      <c r="BD143" s="89">
        <f t="shared" si="140"/>
        <v>0</v>
      </c>
      <c r="BE143" s="89">
        <f t="shared" si="140"/>
        <v>0</v>
      </c>
      <c r="BF143" s="89">
        <f t="shared" si="140"/>
        <v>0</v>
      </c>
      <c r="BG143" s="10">
        <f t="shared" si="140"/>
        <v>0</v>
      </c>
      <c r="BH143" s="10">
        <f t="shared" si="140"/>
        <v>0</v>
      </c>
      <c r="BI143" s="10">
        <f t="shared" si="140"/>
        <v>0</v>
      </c>
      <c r="BJ143" s="10">
        <f t="shared" si="140"/>
        <v>0</v>
      </c>
      <c r="BK143" s="10">
        <f t="shared" si="140"/>
        <v>0</v>
      </c>
      <c r="BL143" s="10">
        <f t="shared" si="140"/>
        <v>0</v>
      </c>
      <c r="BM143" s="10">
        <f t="shared" si="140"/>
        <v>0</v>
      </c>
      <c r="BN143" s="10">
        <f t="shared" si="140"/>
        <v>0</v>
      </c>
      <c r="BO143" s="10">
        <f t="shared" ref="BO143:CA143" si="142">SUM(BO142)</f>
        <v>0</v>
      </c>
      <c r="BP143" s="10">
        <f t="shared" si="142"/>
        <v>0</v>
      </c>
      <c r="BQ143" s="10">
        <f t="shared" si="142"/>
        <v>0</v>
      </c>
      <c r="BR143" s="10">
        <f t="shared" si="142"/>
        <v>0</v>
      </c>
      <c r="BS143" s="10">
        <f t="shared" si="142"/>
        <v>0</v>
      </c>
      <c r="BT143" s="10">
        <f t="shared" si="142"/>
        <v>0</v>
      </c>
      <c r="BU143" s="10">
        <f t="shared" si="142"/>
        <v>0</v>
      </c>
      <c r="BV143" s="10">
        <f t="shared" si="142"/>
        <v>0</v>
      </c>
      <c r="BW143" s="10">
        <f t="shared" si="142"/>
        <v>0</v>
      </c>
      <c r="BX143" s="89">
        <f t="shared" si="142"/>
        <v>0</v>
      </c>
      <c r="BY143" s="89">
        <f t="shared" si="142"/>
        <v>0</v>
      </c>
      <c r="BZ143" s="89">
        <f t="shared" si="142"/>
        <v>0</v>
      </c>
      <c r="CA143" s="10">
        <f t="shared" si="142"/>
        <v>3645505.2444000002</v>
      </c>
      <c r="CC143" s="85"/>
    </row>
    <row r="144" spans="1:81">
      <c r="A144" s="9" t="s">
        <v>221</v>
      </c>
      <c r="B144" s="10">
        <f t="shared" ref="B144:BN144" si="143">SUM(B139:B140,B143)</f>
        <v>0</v>
      </c>
      <c r="C144" s="10">
        <f t="shared" si="143"/>
        <v>0</v>
      </c>
      <c r="D144" s="10">
        <f t="shared" si="143"/>
        <v>0</v>
      </c>
      <c r="E144" s="10">
        <f t="shared" si="143"/>
        <v>0</v>
      </c>
      <c r="F144" s="10">
        <f t="shared" si="143"/>
        <v>0</v>
      </c>
      <c r="G144" s="10">
        <f t="shared" si="143"/>
        <v>0</v>
      </c>
      <c r="H144" s="10">
        <f t="shared" si="143"/>
        <v>0</v>
      </c>
      <c r="I144" s="10">
        <f t="shared" si="143"/>
        <v>0</v>
      </c>
      <c r="J144" s="10">
        <f t="shared" si="143"/>
        <v>0</v>
      </c>
      <c r="K144" s="10">
        <f t="shared" si="143"/>
        <v>0</v>
      </c>
      <c r="L144" s="10">
        <f t="shared" si="143"/>
        <v>0</v>
      </c>
      <c r="M144" s="10">
        <f t="shared" si="143"/>
        <v>0</v>
      </c>
      <c r="N144" s="10">
        <f t="shared" si="143"/>
        <v>0</v>
      </c>
      <c r="O144" s="10">
        <f t="shared" si="143"/>
        <v>0</v>
      </c>
      <c r="P144" s="10">
        <f t="shared" si="143"/>
        <v>0</v>
      </c>
      <c r="Q144" s="10">
        <f t="shared" si="143"/>
        <v>0</v>
      </c>
      <c r="R144" s="10">
        <f t="shared" si="143"/>
        <v>0</v>
      </c>
      <c r="S144" s="10">
        <f t="shared" si="143"/>
        <v>0</v>
      </c>
      <c r="T144" s="10">
        <f t="shared" si="143"/>
        <v>0</v>
      </c>
      <c r="U144" s="10">
        <f t="shared" si="143"/>
        <v>0</v>
      </c>
      <c r="V144" s="10">
        <f t="shared" si="143"/>
        <v>0</v>
      </c>
      <c r="W144" s="10">
        <f t="shared" si="143"/>
        <v>0</v>
      </c>
      <c r="X144" s="10">
        <f t="shared" si="143"/>
        <v>0</v>
      </c>
      <c r="Y144" s="10">
        <f t="shared" si="143"/>
        <v>0</v>
      </c>
      <c r="Z144" s="10">
        <f t="shared" si="143"/>
        <v>0</v>
      </c>
      <c r="AA144" s="10">
        <f t="shared" si="143"/>
        <v>0</v>
      </c>
      <c r="AB144" s="10">
        <f t="shared" si="143"/>
        <v>0</v>
      </c>
      <c r="AC144" s="10">
        <f t="shared" si="143"/>
        <v>0</v>
      </c>
      <c r="AD144" s="10">
        <f t="shared" si="143"/>
        <v>0</v>
      </c>
      <c r="AE144" s="10">
        <f t="shared" ref="AE144" si="144">SUM(AE139:AE140,AE143)</f>
        <v>0</v>
      </c>
      <c r="AF144" s="10">
        <f t="shared" si="143"/>
        <v>0</v>
      </c>
      <c r="AG144" s="10">
        <f t="shared" si="143"/>
        <v>2587878.8522000001</v>
      </c>
      <c r="AH144" s="10">
        <f t="shared" si="143"/>
        <v>1057626.3922000001</v>
      </c>
      <c r="AI144" s="10">
        <f t="shared" si="143"/>
        <v>0</v>
      </c>
      <c r="AJ144" s="89">
        <f t="shared" si="143"/>
        <v>0</v>
      </c>
      <c r="AK144" s="89">
        <f t="shared" si="143"/>
        <v>0</v>
      </c>
      <c r="AL144" s="89">
        <f t="shared" si="143"/>
        <v>0</v>
      </c>
      <c r="AM144" s="89">
        <f t="shared" si="143"/>
        <v>0</v>
      </c>
      <c r="AN144" s="89">
        <f t="shared" si="143"/>
        <v>0</v>
      </c>
      <c r="AO144" s="89">
        <f t="shared" si="143"/>
        <v>0</v>
      </c>
      <c r="AP144" s="89">
        <f t="shared" si="143"/>
        <v>0</v>
      </c>
      <c r="AQ144" s="10">
        <f t="shared" si="143"/>
        <v>0</v>
      </c>
      <c r="AR144" s="10">
        <f t="shared" si="143"/>
        <v>5.88</v>
      </c>
      <c r="AS144" s="89">
        <f t="shared" si="143"/>
        <v>0</v>
      </c>
      <c r="AT144" s="10">
        <f t="shared" si="143"/>
        <v>0</v>
      </c>
      <c r="AU144" s="89">
        <f t="shared" si="143"/>
        <v>0</v>
      </c>
      <c r="AV144" s="89">
        <f t="shared" si="143"/>
        <v>0</v>
      </c>
      <c r="AW144" s="10">
        <f t="shared" si="143"/>
        <v>0</v>
      </c>
      <c r="AX144" s="10">
        <f t="shared" si="143"/>
        <v>0</v>
      </c>
      <c r="AY144" s="89">
        <f t="shared" si="143"/>
        <v>0</v>
      </c>
      <c r="AZ144" s="10">
        <f t="shared" si="143"/>
        <v>0</v>
      </c>
      <c r="BA144" s="10">
        <f t="shared" si="143"/>
        <v>0</v>
      </c>
      <c r="BB144" s="10">
        <f t="shared" si="143"/>
        <v>-2160</v>
      </c>
      <c r="BC144" s="89">
        <f t="shared" si="143"/>
        <v>0</v>
      </c>
      <c r="BD144" s="89">
        <f t="shared" si="143"/>
        <v>0</v>
      </c>
      <c r="BE144" s="89">
        <f t="shared" si="143"/>
        <v>0</v>
      </c>
      <c r="BF144" s="89">
        <f t="shared" si="143"/>
        <v>0</v>
      </c>
      <c r="BG144" s="10">
        <f t="shared" si="143"/>
        <v>0</v>
      </c>
      <c r="BH144" s="10">
        <f t="shared" si="143"/>
        <v>0</v>
      </c>
      <c r="BI144" s="10">
        <f t="shared" si="143"/>
        <v>0</v>
      </c>
      <c r="BJ144" s="10">
        <f t="shared" si="143"/>
        <v>1945628.0000000002</v>
      </c>
      <c r="BK144" s="10">
        <f t="shared" si="143"/>
        <v>720005.1</v>
      </c>
      <c r="BL144" s="10">
        <f t="shared" si="143"/>
        <v>2988687</v>
      </c>
      <c r="BM144" s="10">
        <f t="shared" si="143"/>
        <v>32438.44</v>
      </c>
      <c r="BN144" s="10">
        <f t="shared" si="143"/>
        <v>634124</v>
      </c>
      <c r="BO144" s="10">
        <f t="shared" ref="BO144:CA144" si="145">SUM(BO139:BO140,BO143)</f>
        <v>1289809.71</v>
      </c>
      <c r="BP144" s="10">
        <f t="shared" si="145"/>
        <v>69591.539999999994</v>
      </c>
      <c r="BQ144" s="10">
        <f t="shared" si="145"/>
        <v>346786.75</v>
      </c>
      <c r="BR144" s="10">
        <f t="shared" si="145"/>
        <v>171691.3</v>
      </c>
      <c r="BS144" s="10">
        <f t="shared" si="145"/>
        <v>4426840.3899999997</v>
      </c>
      <c r="BT144" s="10">
        <f t="shared" si="145"/>
        <v>8830606.040000001</v>
      </c>
      <c r="BU144" s="10">
        <f t="shared" si="145"/>
        <v>760178</v>
      </c>
      <c r="BV144" s="10">
        <f t="shared" si="145"/>
        <v>256924.99999999997</v>
      </c>
      <c r="BW144" s="10">
        <f t="shared" si="145"/>
        <v>460917</v>
      </c>
      <c r="BX144" s="89">
        <f t="shared" si="145"/>
        <v>0</v>
      </c>
      <c r="BY144" s="89">
        <f t="shared" si="145"/>
        <v>0</v>
      </c>
      <c r="BZ144" s="89">
        <f t="shared" si="145"/>
        <v>0</v>
      </c>
      <c r="CA144" s="10">
        <f t="shared" si="145"/>
        <v>26577579.394400001</v>
      </c>
      <c r="CC144" s="85"/>
    </row>
    <row r="145" spans="1:95">
      <c r="A145" s="6" t="s">
        <v>222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87"/>
      <c r="AK145" s="87"/>
      <c r="AL145" s="87"/>
      <c r="AM145" s="87"/>
      <c r="AN145" s="87"/>
      <c r="AO145" s="87"/>
      <c r="AP145" s="87"/>
      <c r="AQ145" s="4"/>
      <c r="AR145" s="4"/>
      <c r="AS145" s="87"/>
      <c r="AT145" s="4"/>
      <c r="AU145" s="87"/>
      <c r="AV145" s="87"/>
      <c r="AW145" s="4"/>
      <c r="AX145" s="4"/>
      <c r="AY145" s="87"/>
      <c r="AZ145" s="4"/>
      <c r="BA145" s="4"/>
      <c r="BB145" s="4"/>
      <c r="BC145" s="87"/>
      <c r="BD145" s="87"/>
      <c r="BE145" s="87"/>
      <c r="BF145" s="87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87"/>
      <c r="BY145" s="87"/>
      <c r="BZ145" s="87"/>
      <c r="CA145" s="4"/>
      <c r="CC145" s="85"/>
    </row>
    <row r="146" spans="1:95">
      <c r="A146" s="78" t="s">
        <v>223</v>
      </c>
      <c r="B146" s="8">
        <v>0</v>
      </c>
      <c r="C146" s="8">
        <f>('June 2024 YTD'!C146*2)*1.03</f>
        <v>0</v>
      </c>
      <c r="D146" s="8">
        <f>('June 2024 YTD'!D146*2)*1.03</f>
        <v>0</v>
      </c>
      <c r="E146" s="8">
        <f>('June 2024 YTD'!E146*2)*1.03</f>
        <v>0</v>
      </c>
      <c r="F146" s="8">
        <f>('June 2024 YTD'!F146*2)*1.03</f>
        <v>0</v>
      </c>
      <c r="G146" s="8">
        <f>('June 2024 YTD'!G146*2)*1.03</f>
        <v>0</v>
      </c>
      <c r="H146" s="8">
        <f>('June 2024 YTD'!H146*2)*1.03</f>
        <v>0</v>
      </c>
      <c r="I146" s="8">
        <f>('June 2024 YTD'!I146*2)*1.03</f>
        <v>0</v>
      </c>
      <c r="J146" s="8">
        <f>('June 2024 YTD'!J146*2)*1.03</f>
        <v>0</v>
      </c>
      <c r="K146" s="8">
        <f>('June 2024 YTD'!K146*2)*1.03</f>
        <v>0</v>
      </c>
      <c r="L146" s="8">
        <f>('June 2024 YTD'!L146*2)*1.03</f>
        <v>0</v>
      </c>
      <c r="M146" s="8">
        <f>('June 2024 YTD'!M146*2)*1.03</f>
        <v>0</v>
      </c>
      <c r="N146" s="8">
        <f>('June 2024 YTD'!N146*2)*1.03</f>
        <v>0</v>
      </c>
      <c r="O146" s="8">
        <f>('June 2024 YTD'!O146*2)*1.03</f>
        <v>0</v>
      </c>
      <c r="P146" s="8">
        <f>('June 2024 YTD'!P146*2)*1.03</f>
        <v>0</v>
      </c>
      <c r="Q146" s="8">
        <f>('June 2024 YTD'!Q146*2)*1.03</f>
        <v>0</v>
      </c>
      <c r="R146" s="8">
        <f>('June 2024 YTD'!R146*2)*1.03</f>
        <v>0</v>
      </c>
      <c r="S146" s="8">
        <f>('June 2024 YTD'!S146*2)*1.03</f>
        <v>0</v>
      </c>
      <c r="T146" s="8">
        <f>('June 2024 YTD'!T146*2)*1.03</f>
        <v>0</v>
      </c>
      <c r="U146" s="8">
        <f>('June 2024 YTD'!U146*2)*1.03</f>
        <v>0</v>
      </c>
      <c r="V146" s="8">
        <f>('June 2024 YTD'!V146*2)*1.03</f>
        <v>0</v>
      </c>
      <c r="W146" s="8">
        <f>('June 2024 YTD'!W146*2)*1.03</f>
        <v>0</v>
      </c>
      <c r="X146" s="8">
        <f>('June 2024 YTD'!X146*2)*1.03</f>
        <v>0</v>
      </c>
      <c r="Y146" s="8">
        <f>('June 2024 YTD'!Y146*2)*1.03</f>
        <v>0</v>
      </c>
      <c r="Z146" s="8">
        <f>('June 2024 YTD'!Z146*2)*1.03</f>
        <v>0</v>
      </c>
      <c r="AA146" s="8">
        <f>('June 2024 YTD'!AA146*2)*1.03</f>
        <v>0</v>
      </c>
      <c r="AB146" s="8">
        <f>('June 2024 YTD'!AB146*2)*1.03</f>
        <v>0</v>
      </c>
      <c r="AC146" s="8">
        <f>('June 2024 YTD'!AC146*2)*1.03</f>
        <v>0</v>
      </c>
      <c r="AD146" s="8">
        <f>('June 2024 YTD'!AD146*2)*1.03</f>
        <v>0</v>
      </c>
      <c r="AE146" s="8">
        <v>0</v>
      </c>
      <c r="AF146" s="8">
        <f>('June 2024 YTD'!AE146*2)*1.03</f>
        <v>0</v>
      </c>
      <c r="AG146" s="8">
        <f>('June 2024 YTD'!AF146*2)*1.03</f>
        <v>0</v>
      </c>
      <c r="AH146" s="8">
        <f>('June 2024 YTD'!AG146*2)*1.03</f>
        <v>0</v>
      </c>
      <c r="AI146" s="8">
        <f>('June 2024 YTD'!AH146*2)*1.03</f>
        <v>0</v>
      </c>
      <c r="AJ146" s="88">
        <f>('June 2024 YTD'!AI146*2)*1.03</f>
        <v>0</v>
      </c>
      <c r="AK146" s="88">
        <f>('June 2024 YTD'!AJ146*2)*1.03</f>
        <v>0</v>
      </c>
      <c r="AL146" s="88">
        <f>('June 2024 YTD'!AK146*2)*1.03</f>
        <v>0</v>
      </c>
      <c r="AM146" s="88">
        <f>('June 2024 YTD'!AL146*2)*1.03</f>
        <v>0</v>
      </c>
      <c r="AN146" s="88">
        <f>('June 2024 YTD'!AM146*2)*1.03</f>
        <v>0</v>
      </c>
      <c r="AO146" s="88">
        <f>('June 2024 YTD'!AN146*2)*1.03</f>
        <v>0</v>
      </c>
      <c r="AP146" s="88">
        <f>('June 2024 YTD'!AO146*2)*1.03</f>
        <v>0</v>
      </c>
      <c r="AQ146" s="8">
        <f>('June 2024 YTD'!AP146*2)*1.03</f>
        <v>0</v>
      </c>
      <c r="AR146" s="8">
        <f>('June 2024 YTD'!AQ146*2)*1.03</f>
        <v>0</v>
      </c>
      <c r="AS146" s="88">
        <f>('June 2024 YTD'!AR146*2)*1.03</f>
        <v>0</v>
      </c>
      <c r="AT146" s="8">
        <f>('June 2024 YTD'!AS146*2)*1.03</f>
        <v>0</v>
      </c>
      <c r="AU146" s="88">
        <f>('June 2024 YTD'!AT146*2)*1.03</f>
        <v>0</v>
      </c>
      <c r="AV146" s="88">
        <f>('June 2024 YTD'!AU146*2)*1.03</f>
        <v>0</v>
      </c>
      <c r="AW146" s="8">
        <f>('June 2024 YTD'!AV146*2)*1.03</f>
        <v>0</v>
      </c>
      <c r="AX146" s="8">
        <f>('June 2024 YTD'!AW146*2)*1.03</f>
        <v>0</v>
      </c>
      <c r="AY146" s="88">
        <f>('June 2024 YTD'!AX146*2)*1.03</f>
        <v>0</v>
      </c>
      <c r="AZ146" s="8">
        <f>('June 2024 YTD'!AY146*2)*1.03</f>
        <v>0</v>
      </c>
      <c r="BA146" s="8">
        <f>('June 2024 YTD'!AZ146*2)*1.03</f>
        <v>0</v>
      </c>
      <c r="BB146" s="8">
        <f>('June 2024 YTD'!BA146*2)*1.03</f>
        <v>67.671000000000006</v>
      </c>
      <c r="BC146" s="88">
        <f>('June 2024 YTD'!BB146*2)*1.03</f>
        <v>0</v>
      </c>
      <c r="BD146" s="88">
        <f>('June 2024 YTD'!BC146*2)*1.03</f>
        <v>0</v>
      </c>
      <c r="BE146" s="88">
        <f>('June 2024 YTD'!BD146*2)*1.03</f>
        <v>0</v>
      </c>
      <c r="BF146" s="88">
        <f>('June 2024 YTD'!BE146*2)*1.03</f>
        <v>0</v>
      </c>
      <c r="BG146" s="8">
        <f>('June 2024 YTD'!BF146*2)*1.03</f>
        <v>0</v>
      </c>
      <c r="BH146" s="8">
        <f>('June 2024 YTD'!BG146*2)*1.03</f>
        <v>0</v>
      </c>
      <c r="BI146" s="8">
        <f>('June 2024 YTD'!BH146*2)*1.03</f>
        <v>0</v>
      </c>
      <c r="BJ146" s="8">
        <f>('June 2024 YTD'!BI146*2)*1.03</f>
        <v>0</v>
      </c>
      <c r="BK146" s="8">
        <f>('June 2024 YTD'!BJ146*2)*1.03</f>
        <v>0</v>
      </c>
      <c r="BL146" s="8">
        <f>('June 2024 YTD'!BK146*2)*1.03</f>
        <v>0</v>
      </c>
      <c r="BM146" s="8">
        <f>('June 2024 YTD'!BL146*2)*1.03</f>
        <v>0</v>
      </c>
      <c r="BN146" s="8">
        <f>('June 2024 YTD'!BM146*2)*1.03</f>
        <v>0</v>
      </c>
      <c r="BO146" s="8">
        <f>('June 2024 YTD'!BN146*2)*1.03</f>
        <v>0</v>
      </c>
      <c r="BP146" s="8">
        <f>('June 2024 YTD'!BO146*2)*1.03</f>
        <v>0</v>
      </c>
      <c r="BQ146" s="8">
        <f>('June 2024 YTD'!BP146*2)*1.03</f>
        <v>0</v>
      </c>
      <c r="BR146" s="8">
        <f>('June 2024 YTD'!BQ146*2)*1.03</f>
        <v>0</v>
      </c>
      <c r="BS146" s="8">
        <f>('June 2024 YTD'!BR146*2)*1.03</f>
        <v>0</v>
      </c>
      <c r="BT146" s="8">
        <f>('June 2024 YTD'!BS146*2)*1.03</f>
        <v>0</v>
      </c>
      <c r="BU146" s="8">
        <f>('June 2024 YTD'!BT146*2)*1.03</f>
        <v>0</v>
      </c>
      <c r="BV146" s="8">
        <f>('June 2024 YTD'!BU146*2)*1.03</f>
        <v>0</v>
      </c>
      <c r="BW146" s="8">
        <f>('June 2024 YTD'!BV146*2)*1.03</f>
        <v>0</v>
      </c>
      <c r="BX146" s="88">
        <f>('June 2024 YTD'!BW146*2)*1.03</f>
        <v>0</v>
      </c>
      <c r="BY146" s="88">
        <f>('June 2024 YTD'!BX146*2)*1.03</f>
        <v>0</v>
      </c>
      <c r="BZ146" s="88">
        <f>('June 2024 YTD'!BY146*2)*1.03</f>
        <v>0</v>
      </c>
      <c r="CA146" s="8">
        <f t="shared" ref="CA146" si="146">SUM(B146:BZ146)</f>
        <v>67.671000000000006</v>
      </c>
      <c r="CB146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46" s="85" t="e">
        <f t="shared" ref="CC146" si="147">CA146-CB146</f>
        <v>#REF!</v>
      </c>
    </row>
    <row r="147" spans="1:95">
      <c r="A147" s="9" t="s">
        <v>224</v>
      </c>
      <c r="B147" s="10">
        <f t="shared" ref="B147:BN147" si="148">SUM(B146)</f>
        <v>0</v>
      </c>
      <c r="C147" s="10">
        <f t="shared" si="148"/>
        <v>0</v>
      </c>
      <c r="D147" s="10">
        <f t="shared" si="148"/>
        <v>0</v>
      </c>
      <c r="E147" s="10">
        <f t="shared" si="148"/>
        <v>0</v>
      </c>
      <c r="F147" s="10">
        <f t="shared" si="148"/>
        <v>0</v>
      </c>
      <c r="G147" s="10">
        <f t="shared" si="148"/>
        <v>0</v>
      </c>
      <c r="H147" s="10">
        <f t="shared" si="148"/>
        <v>0</v>
      </c>
      <c r="I147" s="10">
        <f t="shared" si="148"/>
        <v>0</v>
      </c>
      <c r="J147" s="10">
        <f t="shared" si="148"/>
        <v>0</v>
      </c>
      <c r="K147" s="10">
        <f t="shared" si="148"/>
        <v>0</v>
      </c>
      <c r="L147" s="10">
        <f t="shared" si="148"/>
        <v>0</v>
      </c>
      <c r="M147" s="10">
        <f t="shared" si="148"/>
        <v>0</v>
      </c>
      <c r="N147" s="10">
        <f t="shared" si="148"/>
        <v>0</v>
      </c>
      <c r="O147" s="10">
        <f t="shared" si="148"/>
        <v>0</v>
      </c>
      <c r="P147" s="10">
        <f t="shared" si="148"/>
        <v>0</v>
      </c>
      <c r="Q147" s="10">
        <f t="shared" si="148"/>
        <v>0</v>
      </c>
      <c r="R147" s="10">
        <f t="shared" si="148"/>
        <v>0</v>
      </c>
      <c r="S147" s="10">
        <f t="shared" si="148"/>
        <v>0</v>
      </c>
      <c r="T147" s="10">
        <f t="shared" si="148"/>
        <v>0</v>
      </c>
      <c r="U147" s="10">
        <f t="shared" si="148"/>
        <v>0</v>
      </c>
      <c r="V147" s="10">
        <f t="shared" si="148"/>
        <v>0</v>
      </c>
      <c r="W147" s="10">
        <f t="shared" si="148"/>
        <v>0</v>
      </c>
      <c r="X147" s="10">
        <f t="shared" si="148"/>
        <v>0</v>
      </c>
      <c r="Y147" s="10">
        <f t="shared" si="148"/>
        <v>0</v>
      </c>
      <c r="Z147" s="10">
        <f t="shared" si="148"/>
        <v>0</v>
      </c>
      <c r="AA147" s="10">
        <f t="shared" si="148"/>
        <v>0</v>
      </c>
      <c r="AB147" s="10">
        <f t="shared" si="148"/>
        <v>0</v>
      </c>
      <c r="AC147" s="10">
        <f t="shared" si="148"/>
        <v>0</v>
      </c>
      <c r="AD147" s="10">
        <f t="shared" si="148"/>
        <v>0</v>
      </c>
      <c r="AE147" s="10">
        <f t="shared" ref="AE147" si="149">SUM(AE146)</f>
        <v>0</v>
      </c>
      <c r="AF147" s="10">
        <f t="shared" si="148"/>
        <v>0</v>
      </c>
      <c r="AG147" s="10">
        <f t="shared" si="148"/>
        <v>0</v>
      </c>
      <c r="AH147" s="10">
        <f t="shared" si="148"/>
        <v>0</v>
      </c>
      <c r="AI147" s="10">
        <f t="shared" si="148"/>
        <v>0</v>
      </c>
      <c r="AJ147" s="89">
        <f t="shared" si="148"/>
        <v>0</v>
      </c>
      <c r="AK147" s="89">
        <f t="shared" si="148"/>
        <v>0</v>
      </c>
      <c r="AL147" s="89">
        <f t="shared" si="148"/>
        <v>0</v>
      </c>
      <c r="AM147" s="89">
        <f t="shared" si="148"/>
        <v>0</v>
      </c>
      <c r="AN147" s="89">
        <f t="shared" si="148"/>
        <v>0</v>
      </c>
      <c r="AO147" s="89">
        <f t="shared" si="148"/>
        <v>0</v>
      </c>
      <c r="AP147" s="89">
        <f t="shared" si="148"/>
        <v>0</v>
      </c>
      <c r="AQ147" s="10">
        <f t="shared" si="148"/>
        <v>0</v>
      </c>
      <c r="AR147" s="10">
        <f t="shared" si="148"/>
        <v>0</v>
      </c>
      <c r="AS147" s="89">
        <f t="shared" si="148"/>
        <v>0</v>
      </c>
      <c r="AT147" s="10">
        <f t="shared" si="148"/>
        <v>0</v>
      </c>
      <c r="AU147" s="89">
        <f t="shared" si="148"/>
        <v>0</v>
      </c>
      <c r="AV147" s="89">
        <f t="shared" si="148"/>
        <v>0</v>
      </c>
      <c r="AW147" s="10">
        <f t="shared" si="148"/>
        <v>0</v>
      </c>
      <c r="AX147" s="10">
        <f t="shared" si="148"/>
        <v>0</v>
      </c>
      <c r="AY147" s="89">
        <f t="shared" si="148"/>
        <v>0</v>
      </c>
      <c r="AZ147" s="10">
        <f t="shared" si="148"/>
        <v>0</v>
      </c>
      <c r="BA147" s="10">
        <f t="shared" si="148"/>
        <v>0</v>
      </c>
      <c r="BB147" s="10">
        <f t="shared" si="148"/>
        <v>67.671000000000006</v>
      </c>
      <c r="BC147" s="89">
        <f t="shared" si="148"/>
        <v>0</v>
      </c>
      <c r="BD147" s="89">
        <f t="shared" si="148"/>
        <v>0</v>
      </c>
      <c r="BE147" s="89">
        <f t="shared" si="148"/>
        <v>0</v>
      </c>
      <c r="BF147" s="89">
        <f t="shared" si="148"/>
        <v>0</v>
      </c>
      <c r="BG147" s="10">
        <f t="shared" si="148"/>
        <v>0</v>
      </c>
      <c r="BH147" s="10">
        <f t="shared" si="148"/>
        <v>0</v>
      </c>
      <c r="BI147" s="10">
        <f t="shared" si="148"/>
        <v>0</v>
      </c>
      <c r="BJ147" s="10">
        <f t="shared" si="148"/>
        <v>0</v>
      </c>
      <c r="BK147" s="10">
        <f t="shared" si="148"/>
        <v>0</v>
      </c>
      <c r="BL147" s="10">
        <f t="shared" si="148"/>
        <v>0</v>
      </c>
      <c r="BM147" s="10">
        <f t="shared" si="148"/>
        <v>0</v>
      </c>
      <c r="BN147" s="10">
        <f t="shared" si="148"/>
        <v>0</v>
      </c>
      <c r="BO147" s="10">
        <f t="shared" ref="BO147:CA147" si="150">SUM(BO146)</f>
        <v>0</v>
      </c>
      <c r="BP147" s="10">
        <f t="shared" si="150"/>
        <v>0</v>
      </c>
      <c r="BQ147" s="10">
        <f t="shared" si="150"/>
        <v>0</v>
      </c>
      <c r="BR147" s="10">
        <f t="shared" si="150"/>
        <v>0</v>
      </c>
      <c r="BS147" s="10">
        <f t="shared" si="150"/>
        <v>0</v>
      </c>
      <c r="BT147" s="10">
        <f t="shared" si="150"/>
        <v>0</v>
      </c>
      <c r="BU147" s="10">
        <f t="shared" si="150"/>
        <v>0</v>
      </c>
      <c r="BV147" s="10">
        <f t="shared" si="150"/>
        <v>0</v>
      </c>
      <c r="BW147" s="10">
        <f t="shared" si="150"/>
        <v>0</v>
      </c>
      <c r="BX147" s="89">
        <f t="shared" si="150"/>
        <v>0</v>
      </c>
      <c r="BY147" s="89">
        <f t="shared" si="150"/>
        <v>0</v>
      </c>
      <c r="BZ147" s="89">
        <f t="shared" si="150"/>
        <v>0</v>
      </c>
      <c r="CA147" s="10">
        <f t="shared" si="150"/>
        <v>67.671000000000006</v>
      </c>
      <c r="CC147" s="85"/>
    </row>
    <row r="148" spans="1:95">
      <c r="A148" s="22" t="s">
        <v>225</v>
      </c>
      <c r="B148" s="8">
        <f>B23</f>
        <v>0</v>
      </c>
      <c r="C148" s="8">
        <f t="shared" ref="C148:BO148" si="151">C23</f>
        <v>206717.19587979891</v>
      </c>
      <c r="D148" s="8">
        <f t="shared" si="151"/>
        <v>84443.918027704029</v>
      </c>
      <c r="E148" s="8">
        <f t="shared" si="151"/>
        <v>12725.609194764807</v>
      </c>
      <c r="F148" s="8">
        <f t="shared" si="151"/>
        <v>16302.233004852447</v>
      </c>
      <c r="G148" s="8">
        <f t="shared" si="151"/>
        <v>9499.7117590289727</v>
      </c>
      <c r="H148" s="8">
        <f t="shared" si="151"/>
        <v>25537.591302616253</v>
      </c>
      <c r="I148" s="8">
        <f t="shared" si="151"/>
        <v>39651.710509273849</v>
      </c>
      <c r="J148" s="8">
        <f t="shared" si="151"/>
        <v>42168.303113298192</v>
      </c>
      <c r="K148" s="8">
        <f t="shared" si="151"/>
        <v>0</v>
      </c>
      <c r="L148" s="8">
        <f t="shared" si="151"/>
        <v>0</v>
      </c>
      <c r="M148" s="8">
        <f t="shared" si="151"/>
        <v>0</v>
      </c>
      <c r="N148" s="8">
        <f t="shared" si="151"/>
        <v>0</v>
      </c>
      <c r="O148" s="8">
        <f t="shared" si="151"/>
        <v>0</v>
      </c>
      <c r="P148" s="8">
        <f t="shared" si="151"/>
        <v>0</v>
      </c>
      <c r="Q148" s="8">
        <f t="shared" si="151"/>
        <v>0</v>
      </c>
      <c r="R148" s="8">
        <f t="shared" si="151"/>
        <v>0</v>
      </c>
      <c r="S148" s="8">
        <f t="shared" si="151"/>
        <v>0</v>
      </c>
      <c r="T148" s="8">
        <f t="shared" si="151"/>
        <v>0</v>
      </c>
      <c r="U148" s="8">
        <f t="shared" si="151"/>
        <v>0</v>
      </c>
      <c r="V148" s="8">
        <f t="shared" si="151"/>
        <v>0</v>
      </c>
      <c r="W148" s="8">
        <f t="shared" si="151"/>
        <v>0</v>
      </c>
      <c r="X148" s="8">
        <f t="shared" si="151"/>
        <v>0</v>
      </c>
      <c r="Y148" s="8">
        <f t="shared" si="151"/>
        <v>0</v>
      </c>
      <c r="Z148" s="8">
        <f t="shared" si="151"/>
        <v>0</v>
      </c>
      <c r="AA148" s="8">
        <f t="shared" si="151"/>
        <v>0</v>
      </c>
      <c r="AB148" s="8">
        <f t="shared" si="151"/>
        <v>0</v>
      </c>
      <c r="AC148" s="8">
        <f t="shared" si="151"/>
        <v>1745.7797887511572</v>
      </c>
      <c r="AD148" s="8">
        <f t="shared" si="151"/>
        <v>727.62635872986766</v>
      </c>
      <c r="AE148" s="8">
        <f t="shared" ref="AE148" si="152">AE23</f>
        <v>0</v>
      </c>
      <c r="AF148" s="8">
        <f t="shared" si="151"/>
        <v>0</v>
      </c>
      <c r="AG148" s="8">
        <f t="shared" si="151"/>
        <v>0</v>
      </c>
      <c r="AH148" s="8">
        <f t="shared" si="151"/>
        <v>0</v>
      </c>
      <c r="AI148" s="8">
        <f t="shared" si="151"/>
        <v>0</v>
      </c>
      <c r="AJ148" s="88">
        <f t="shared" si="151"/>
        <v>0</v>
      </c>
      <c r="AK148" s="88">
        <f t="shared" si="151"/>
        <v>0</v>
      </c>
      <c r="AL148" s="88">
        <f t="shared" si="151"/>
        <v>0</v>
      </c>
      <c r="AM148" s="88">
        <f t="shared" si="151"/>
        <v>0</v>
      </c>
      <c r="AN148" s="88">
        <f t="shared" si="151"/>
        <v>0</v>
      </c>
      <c r="AO148" s="88">
        <f t="shared" si="151"/>
        <v>0</v>
      </c>
      <c r="AP148" s="88">
        <f t="shared" si="151"/>
        <v>0</v>
      </c>
      <c r="AQ148" s="8">
        <f t="shared" si="151"/>
        <v>0</v>
      </c>
      <c r="AR148" s="8">
        <f t="shared" si="151"/>
        <v>0</v>
      </c>
      <c r="AS148" s="88">
        <f t="shared" si="151"/>
        <v>0</v>
      </c>
      <c r="AT148" s="8">
        <f t="shared" si="151"/>
        <v>1205.2947417090074</v>
      </c>
      <c r="AU148" s="88">
        <f t="shared" si="151"/>
        <v>0</v>
      </c>
      <c r="AV148" s="88">
        <f t="shared" si="151"/>
        <v>0</v>
      </c>
      <c r="AW148" s="8">
        <f t="shared" si="151"/>
        <v>18030.99994708654</v>
      </c>
      <c r="AX148" s="8">
        <f t="shared" si="151"/>
        <v>0</v>
      </c>
      <c r="AY148" s="88">
        <f t="shared" si="151"/>
        <v>0</v>
      </c>
      <c r="AZ148" s="8">
        <f t="shared" si="151"/>
        <v>18827.986372385982</v>
      </c>
      <c r="BA148" s="8">
        <f t="shared" si="151"/>
        <v>0</v>
      </c>
      <c r="BB148" s="8">
        <f t="shared" si="151"/>
        <v>0</v>
      </c>
      <c r="BC148" s="88">
        <f t="shared" si="151"/>
        <v>0</v>
      </c>
      <c r="BD148" s="88">
        <f t="shared" si="151"/>
        <v>0</v>
      </c>
      <c r="BE148" s="88">
        <f t="shared" si="151"/>
        <v>0</v>
      </c>
      <c r="BF148" s="88">
        <f t="shared" si="151"/>
        <v>0</v>
      </c>
      <c r="BG148" s="8">
        <f t="shared" si="151"/>
        <v>0</v>
      </c>
      <c r="BH148" s="8">
        <f t="shared" si="151"/>
        <v>0</v>
      </c>
      <c r="BI148" s="8">
        <f t="shared" si="151"/>
        <v>0</v>
      </c>
      <c r="BJ148" s="8">
        <f t="shared" si="151"/>
        <v>0</v>
      </c>
      <c r="BK148" s="8">
        <f t="shared" si="151"/>
        <v>0</v>
      </c>
      <c r="BL148" s="8">
        <f t="shared" si="151"/>
        <v>0</v>
      </c>
      <c r="BM148" s="8">
        <f t="shared" si="151"/>
        <v>0</v>
      </c>
      <c r="BN148" s="8">
        <f t="shared" si="151"/>
        <v>0</v>
      </c>
      <c r="BO148" s="8">
        <f t="shared" si="151"/>
        <v>0</v>
      </c>
      <c r="BP148" s="8">
        <f t="shared" ref="BP148:BZ148" si="153">BP23</f>
        <v>0</v>
      </c>
      <c r="BQ148" s="8">
        <f t="shared" si="153"/>
        <v>0</v>
      </c>
      <c r="BR148" s="8">
        <f t="shared" si="153"/>
        <v>0</v>
      </c>
      <c r="BS148" s="8">
        <f t="shared" si="153"/>
        <v>0</v>
      </c>
      <c r="BT148" s="8">
        <f t="shared" si="153"/>
        <v>0</v>
      </c>
      <c r="BU148" s="8">
        <f t="shared" si="153"/>
        <v>0</v>
      </c>
      <c r="BV148" s="8">
        <f t="shared" si="153"/>
        <v>0</v>
      </c>
      <c r="BW148" s="8">
        <f t="shared" si="153"/>
        <v>0</v>
      </c>
      <c r="BX148" s="88">
        <f t="shared" si="153"/>
        <v>0</v>
      </c>
      <c r="BY148" s="88">
        <f t="shared" si="153"/>
        <v>0</v>
      </c>
      <c r="BZ148" s="88">
        <f t="shared" si="153"/>
        <v>0</v>
      </c>
      <c r="CA148" s="8">
        <f t="shared" ref="CA148" si="154">SUM(B148:BZ148)</f>
        <v>477583.96</v>
      </c>
      <c r="CB148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CC148" s="85" t="e">
        <f t="shared" ref="CC148" si="155">CA148-CB148</f>
        <v>#REF!</v>
      </c>
    </row>
    <row r="149" spans="1:95">
      <c r="A149" s="12" t="s">
        <v>226</v>
      </c>
      <c r="B149" s="10">
        <f t="shared" ref="B149:BN149" si="156">SUM(B40,B44,B55,B58,B61,B66,B70,B77,B82,B86:B87,B91,B95:B96,B99,B104,B108,B114,B117:B119,B124,B133:B137,B144,B147:B148)</f>
        <v>0</v>
      </c>
      <c r="C149" s="10" t="e">
        <f t="shared" si="156"/>
        <v>#REF!</v>
      </c>
      <c r="D149" s="10">
        <f t="shared" si="156"/>
        <v>673401.52918319497</v>
      </c>
      <c r="E149" s="10">
        <f t="shared" si="156"/>
        <v>124174.53595266124</v>
      </c>
      <c r="F149" s="10">
        <f t="shared" si="156"/>
        <v>158413.54342179885</v>
      </c>
      <c r="G149" s="10">
        <f t="shared" si="156"/>
        <v>88311.424239673594</v>
      </c>
      <c r="H149" s="10">
        <f t="shared" si="156"/>
        <v>205590.73152259548</v>
      </c>
      <c r="I149" s="10">
        <f t="shared" si="156"/>
        <v>321295.13216872315</v>
      </c>
      <c r="J149" s="10">
        <f t="shared" si="156"/>
        <v>753478.38984733552</v>
      </c>
      <c r="K149" s="10">
        <f t="shared" si="156"/>
        <v>209803.49200910929</v>
      </c>
      <c r="L149" s="10">
        <f t="shared" si="156"/>
        <v>25057.827959189086</v>
      </c>
      <c r="M149" s="10">
        <f t="shared" si="156"/>
        <v>176456.17321175468</v>
      </c>
      <c r="N149" s="10">
        <f t="shared" si="156"/>
        <v>332121.40919828624</v>
      </c>
      <c r="O149" s="10">
        <f t="shared" si="156"/>
        <v>113712.86832213118</v>
      </c>
      <c r="P149" s="10">
        <f t="shared" si="156"/>
        <v>803.28895717665171</v>
      </c>
      <c r="Q149" s="10">
        <f t="shared" si="156"/>
        <v>3640.0140520788032</v>
      </c>
      <c r="R149" s="10">
        <f t="shared" si="156"/>
        <v>4918.9388976790297</v>
      </c>
      <c r="S149" s="10">
        <f t="shared" si="156"/>
        <v>19256.832540838099</v>
      </c>
      <c r="T149" s="10">
        <f t="shared" si="156"/>
        <v>14724.488412627581</v>
      </c>
      <c r="U149" s="10">
        <f t="shared" si="156"/>
        <v>87552.532136972965</v>
      </c>
      <c r="V149" s="10">
        <f t="shared" si="156"/>
        <v>64015.347206919505</v>
      </c>
      <c r="W149" s="10">
        <f t="shared" si="156"/>
        <v>73598.072240046618</v>
      </c>
      <c r="X149" s="10">
        <f t="shared" si="156"/>
        <v>184909.34218720443</v>
      </c>
      <c r="Y149" s="10">
        <f t="shared" si="156"/>
        <v>31742.284624070177</v>
      </c>
      <c r="Z149" s="10">
        <f t="shared" si="156"/>
        <v>62345.854208015349</v>
      </c>
      <c r="AA149" s="10">
        <f t="shared" si="156"/>
        <v>25107.853528316358</v>
      </c>
      <c r="AB149" s="10">
        <f t="shared" si="156"/>
        <v>449592.93897055456</v>
      </c>
      <c r="AC149" s="10">
        <f t="shared" si="156"/>
        <v>12647.755966088835</v>
      </c>
      <c r="AD149" s="10">
        <f t="shared" si="156"/>
        <v>5737.8172687227961</v>
      </c>
      <c r="AE149" s="10" t="e">
        <f t="shared" ref="AE149" si="157">SUM(AE40,AE44,AE55,AE58,AE61,AE66,AE70,AE77,AE82,AE86:AE87,AE91,AE95:AE96,AE99,AE104,AE108,AE114,AE117:AE119,AE124,AE133:AE137,AE144,AE147:AE148)</f>
        <v>#REF!</v>
      </c>
      <c r="AF149" s="10">
        <f t="shared" si="156"/>
        <v>8652.3660387459277</v>
      </c>
      <c r="AG149" s="10">
        <f t="shared" si="156"/>
        <v>3167871.2297209175</v>
      </c>
      <c r="AH149" s="10">
        <f t="shared" si="156"/>
        <v>1339973.8077735463</v>
      </c>
      <c r="AI149" s="10">
        <f t="shared" si="156"/>
        <v>44515.839386224005</v>
      </c>
      <c r="AJ149" s="89">
        <f t="shared" si="156"/>
        <v>0</v>
      </c>
      <c r="AK149" s="89">
        <f t="shared" si="156"/>
        <v>0</v>
      </c>
      <c r="AL149" s="89">
        <f t="shared" si="156"/>
        <v>0</v>
      </c>
      <c r="AM149" s="89">
        <f t="shared" si="156"/>
        <v>0</v>
      </c>
      <c r="AN149" s="89">
        <f t="shared" si="156"/>
        <v>206.18654208888526</v>
      </c>
      <c r="AO149" s="89">
        <f t="shared" si="156"/>
        <v>0</v>
      </c>
      <c r="AP149" s="89">
        <f t="shared" si="156"/>
        <v>0</v>
      </c>
      <c r="AQ149" s="10">
        <f t="shared" si="156"/>
        <v>44841.36303037934</v>
      </c>
      <c r="AR149" s="10">
        <f t="shared" si="156"/>
        <v>48208.338487447385</v>
      </c>
      <c r="AS149" s="89">
        <f t="shared" si="156"/>
        <v>0</v>
      </c>
      <c r="AT149" s="10">
        <f t="shared" si="156"/>
        <v>9832.6722314912349</v>
      </c>
      <c r="AU149" s="89">
        <f t="shared" si="156"/>
        <v>0</v>
      </c>
      <c r="AV149" s="89">
        <f t="shared" si="156"/>
        <v>0</v>
      </c>
      <c r="AW149" s="10">
        <f t="shared" si="156"/>
        <v>145166.66151765155</v>
      </c>
      <c r="AX149" s="10">
        <f t="shared" si="156"/>
        <v>32717.73616542936</v>
      </c>
      <c r="AY149" s="89">
        <f t="shared" si="156"/>
        <v>0</v>
      </c>
      <c r="AZ149" s="10">
        <f t="shared" si="156"/>
        <v>361051.7709316659</v>
      </c>
      <c r="BA149" s="10">
        <f t="shared" si="156"/>
        <v>157793.79111200152</v>
      </c>
      <c r="BB149" s="10">
        <f t="shared" si="156"/>
        <v>91226.752485254459</v>
      </c>
      <c r="BC149" s="89">
        <f t="shared" si="156"/>
        <v>0</v>
      </c>
      <c r="BD149" s="89">
        <f t="shared" si="156"/>
        <v>0</v>
      </c>
      <c r="BE149" s="89">
        <f t="shared" si="156"/>
        <v>0</v>
      </c>
      <c r="BF149" s="89">
        <f t="shared" si="156"/>
        <v>704.53370801879362</v>
      </c>
      <c r="BG149" s="10">
        <f t="shared" si="156"/>
        <v>0</v>
      </c>
      <c r="BH149" s="10">
        <f t="shared" si="156"/>
        <v>0</v>
      </c>
      <c r="BI149" s="10" t="e">
        <f t="shared" si="156"/>
        <v>#REF!</v>
      </c>
      <c r="BJ149" s="10">
        <f t="shared" si="156"/>
        <v>1946620.9970710503</v>
      </c>
      <c r="BK149" s="10">
        <f t="shared" si="156"/>
        <v>720230.99762241391</v>
      </c>
      <c r="BL149" s="10">
        <f t="shared" si="156"/>
        <v>2988687</v>
      </c>
      <c r="BM149" s="10">
        <f t="shared" si="156"/>
        <v>34899.997840024676</v>
      </c>
      <c r="BN149" s="10">
        <f t="shared" si="156"/>
        <v>634124</v>
      </c>
      <c r="BO149" s="10">
        <f t="shared" ref="BO149:CA149" si="158">SUM(BO40,BO44,BO55,BO58,BO61,BO66,BO70,BO77,BO82,BO86:BO87,BO91,BO95:BO96,BO99,BO104,BO108,BO114,BO117:BO119,BO124,BO133:BO137,BO144,BO147:BO148)</f>
        <v>1315864.0012716609</v>
      </c>
      <c r="BP149" s="10">
        <f t="shared" si="158"/>
        <v>72744.996450882551</v>
      </c>
      <c r="BQ149" s="10">
        <f t="shared" si="158"/>
        <v>350310.99669430405</v>
      </c>
      <c r="BR149" s="10">
        <f t="shared" si="158"/>
        <v>172039.00310333486</v>
      </c>
      <c r="BS149" s="10">
        <f t="shared" si="158"/>
        <v>4434346.0224253638</v>
      </c>
      <c r="BT149" s="10">
        <f t="shared" si="158"/>
        <v>8832038.004903771</v>
      </c>
      <c r="BU149" s="10">
        <f t="shared" si="158"/>
        <v>760178</v>
      </c>
      <c r="BV149" s="10">
        <f t="shared" si="158"/>
        <v>256924.99999999997</v>
      </c>
      <c r="BW149" s="10">
        <f t="shared" si="158"/>
        <v>460917</v>
      </c>
      <c r="BX149" s="89">
        <f t="shared" si="158"/>
        <v>0</v>
      </c>
      <c r="BY149" s="89">
        <f t="shared" si="158"/>
        <v>0</v>
      </c>
      <c r="BZ149" s="89">
        <f t="shared" si="158"/>
        <v>0</v>
      </c>
      <c r="CA149" s="10" t="e">
        <f t="shared" si="158"/>
        <v>#REF!</v>
      </c>
    </row>
    <row r="150" spans="1:95">
      <c r="A150" s="18" t="s">
        <v>227</v>
      </c>
      <c r="B150" s="14">
        <f t="shared" ref="B150:BN150" si="159">B34-B149</f>
        <v>0</v>
      </c>
      <c r="C150" s="101" t="e">
        <f t="shared" si="159"/>
        <v>#REF!</v>
      </c>
      <c r="D150" s="14">
        <f t="shared" si="159"/>
        <v>-8227.611155490973</v>
      </c>
      <c r="E150" s="101">
        <f t="shared" si="159"/>
        <v>-3932.9267578964354</v>
      </c>
      <c r="F150" s="101">
        <f t="shared" si="159"/>
        <v>-30001.310416946406</v>
      </c>
      <c r="G150" s="101">
        <f t="shared" si="159"/>
        <v>-13484.712480644623</v>
      </c>
      <c r="H150" s="104">
        <f t="shared" si="159"/>
        <v>-4430.140219979221</v>
      </c>
      <c r="I150" s="14">
        <f t="shared" si="159"/>
        <v>1156.57834055071</v>
      </c>
      <c r="J150" s="14">
        <f t="shared" si="159"/>
        <v>-111310.08673403738</v>
      </c>
      <c r="K150" s="14">
        <f t="shared" si="159"/>
        <v>59521.507990890706</v>
      </c>
      <c r="L150" s="101">
        <f t="shared" si="159"/>
        <v>22218.172040810914</v>
      </c>
      <c r="M150" s="14">
        <f t="shared" si="159"/>
        <v>8350.5767882453219</v>
      </c>
      <c r="N150" s="14">
        <f t="shared" si="159"/>
        <v>16478.50080171373</v>
      </c>
      <c r="O150" s="101">
        <f t="shared" si="159"/>
        <v>-32865.228322131181</v>
      </c>
      <c r="P150" s="101">
        <f t="shared" si="159"/>
        <v>8245.7110428233482</v>
      </c>
      <c r="Q150" s="101">
        <f t="shared" si="159"/>
        <v>5599.9859479211973</v>
      </c>
      <c r="R150" s="101">
        <f t="shared" si="159"/>
        <v>4965.0611023209703</v>
      </c>
      <c r="S150" s="14">
        <f t="shared" si="159"/>
        <v>2010.0774591619011</v>
      </c>
      <c r="T150" s="101">
        <f t="shared" si="159"/>
        <v>39271.511587372421</v>
      </c>
      <c r="U150" s="14">
        <f t="shared" si="159"/>
        <v>2197.4678630270355</v>
      </c>
      <c r="V150" s="14">
        <f t="shared" si="159"/>
        <v>4055.652793080495</v>
      </c>
      <c r="W150" s="14">
        <f t="shared" si="159"/>
        <v>4403.9277599533816</v>
      </c>
      <c r="X150" s="14">
        <f t="shared" si="159"/>
        <v>8455.3978127955634</v>
      </c>
      <c r="Y150" s="14">
        <f t="shared" si="159"/>
        <v>2049.7153759298235</v>
      </c>
      <c r="Z150" s="14">
        <f t="shared" si="159"/>
        <v>2910.1457919846507</v>
      </c>
      <c r="AA150" s="14">
        <f t="shared" si="159"/>
        <v>3592.1464716836417</v>
      </c>
      <c r="AB150" s="101">
        <f t="shared" si="159"/>
        <v>-39197.678970554553</v>
      </c>
      <c r="AC150" s="14">
        <f t="shared" si="159"/>
        <v>1098.0238226623223</v>
      </c>
      <c r="AD150" s="14">
        <f t="shared" si="159"/>
        <v>-10.190909992928937</v>
      </c>
      <c r="AE150" s="14" t="e">
        <f t="shared" ref="AE150" si="160">AE34-AE149</f>
        <v>#REF!</v>
      </c>
      <c r="AF150" s="101">
        <f t="shared" si="159"/>
        <v>-1133.3660387459277</v>
      </c>
      <c r="AG150" s="101">
        <f t="shared" si="159"/>
        <v>27336.38987908233</v>
      </c>
      <c r="AH150" s="101">
        <f t="shared" si="159"/>
        <v>-57694.60997354635</v>
      </c>
      <c r="AI150" s="101">
        <f t="shared" si="159"/>
        <v>-44515.839386224005</v>
      </c>
      <c r="AJ150" s="91">
        <f t="shared" si="159"/>
        <v>0</v>
      </c>
      <c r="AK150" s="91">
        <f t="shared" si="159"/>
        <v>0</v>
      </c>
      <c r="AL150" s="91">
        <f t="shared" si="159"/>
        <v>0</v>
      </c>
      <c r="AM150" s="91">
        <f t="shared" si="159"/>
        <v>0</v>
      </c>
      <c r="AN150" s="91">
        <f t="shared" si="159"/>
        <v>-206.18654208888526</v>
      </c>
      <c r="AO150" s="91">
        <f t="shared" si="159"/>
        <v>0</v>
      </c>
      <c r="AP150" s="91">
        <f t="shared" si="159"/>
        <v>0</v>
      </c>
      <c r="AQ150" s="101">
        <f t="shared" si="159"/>
        <v>-7972.3630303793398</v>
      </c>
      <c r="AR150" s="101">
        <f t="shared" si="159"/>
        <v>-41808.338487447385</v>
      </c>
      <c r="AS150" s="91">
        <f t="shared" si="159"/>
        <v>0</v>
      </c>
      <c r="AT150" s="101">
        <f t="shared" si="159"/>
        <v>-342.37748978222771</v>
      </c>
      <c r="AU150" s="91">
        <f t="shared" si="159"/>
        <v>0</v>
      </c>
      <c r="AV150" s="91">
        <f t="shared" si="159"/>
        <v>0</v>
      </c>
      <c r="AW150" s="14">
        <f t="shared" si="159"/>
        <v>72644.338429434982</v>
      </c>
      <c r="AX150" s="14">
        <f t="shared" si="159"/>
        <v>26915.26383457064</v>
      </c>
      <c r="AY150" s="91">
        <f t="shared" si="159"/>
        <v>0</v>
      </c>
      <c r="AZ150" s="104">
        <f t="shared" si="159"/>
        <v>-70257.784559279913</v>
      </c>
      <c r="BA150" s="101">
        <f t="shared" si="159"/>
        <v>-157793.79111200152</v>
      </c>
      <c r="BB150" s="14">
        <f t="shared" si="159"/>
        <v>75056.947514745552</v>
      </c>
      <c r="BC150" s="91">
        <f t="shared" si="159"/>
        <v>0</v>
      </c>
      <c r="BD150" s="91">
        <f t="shared" si="159"/>
        <v>0</v>
      </c>
      <c r="BE150" s="91">
        <f t="shared" si="159"/>
        <v>0</v>
      </c>
      <c r="BF150" s="91">
        <f t="shared" si="159"/>
        <v>-704.53370801879362</v>
      </c>
      <c r="BG150" s="104">
        <f t="shared" si="159"/>
        <v>0</v>
      </c>
      <c r="BH150" s="104">
        <f t="shared" si="159"/>
        <v>0</v>
      </c>
      <c r="BI150" s="104" t="e">
        <f t="shared" si="159"/>
        <v>#REF!</v>
      </c>
      <c r="BJ150" s="104">
        <f t="shared" si="159"/>
        <v>2.9289496596902609E-3</v>
      </c>
      <c r="BK150" s="104">
        <f t="shared" si="159"/>
        <v>2.3775860900059342E-3</v>
      </c>
      <c r="BL150" s="104">
        <f t="shared" si="159"/>
        <v>0</v>
      </c>
      <c r="BM150" s="104">
        <f t="shared" si="159"/>
        <v>2.159975323593244E-3</v>
      </c>
      <c r="BN150" s="104">
        <f t="shared" si="159"/>
        <v>0</v>
      </c>
      <c r="BO150" s="104">
        <f t="shared" ref="BO150:BZ150" si="161">BO34-BO149</f>
        <v>-1.2716609053313732E-3</v>
      </c>
      <c r="BP150" s="104">
        <f t="shared" si="161"/>
        <v>3.5491174494381994E-3</v>
      </c>
      <c r="BQ150" s="104">
        <f t="shared" si="161"/>
        <v>3.3056959509849548E-3</v>
      </c>
      <c r="BR150" s="104">
        <f t="shared" si="161"/>
        <v>-66468.003103334864</v>
      </c>
      <c r="BS150" s="104">
        <f t="shared" si="161"/>
        <v>-2.4253642186522484E-3</v>
      </c>
      <c r="BT150" s="104">
        <f t="shared" si="161"/>
        <v>-4.9037709832191467E-3</v>
      </c>
      <c r="BU150" s="104">
        <f t="shared" si="161"/>
        <v>0</v>
      </c>
      <c r="BV150" s="104">
        <f t="shared" si="161"/>
        <v>0</v>
      </c>
      <c r="BW150" s="104">
        <f t="shared" si="161"/>
        <v>0</v>
      </c>
      <c r="BX150" s="91">
        <f t="shared" si="161"/>
        <v>0</v>
      </c>
      <c r="BY150" s="91">
        <f t="shared" si="161"/>
        <v>0</v>
      </c>
      <c r="BZ150" s="91">
        <f t="shared" si="161"/>
        <v>0</v>
      </c>
      <c r="CA150" s="101" t="e">
        <f>(CA34-CA149)</f>
        <v>#REF!</v>
      </c>
    </row>
    <row r="151" spans="1:95">
      <c r="A151" s="18" t="s">
        <v>228</v>
      </c>
      <c r="B151" s="14">
        <f t="shared" ref="B151:BN151" si="162">B150+0</f>
        <v>0</v>
      </c>
      <c r="C151" s="101" t="e">
        <f t="shared" si="162"/>
        <v>#REF!</v>
      </c>
      <c r="D151" s="14">
        <f t="shared" si="162"/>
        <v>-8227.611155490973</v>
      </c>
      <c r="E151" s="101">
        <f t="shared" si="162"/>
        <v>-3932.9267578964354</v>
      </c>
      <c r="F151" s="101">
        <f t="shared" si="162"/>
        <v>-30001.310416946406</v>
      </c>
      <c r="G151" s="101">
        <f t="shared" si="162"/>
        <v>-13484.712480644623</v>
      </c>
      <c r="H151" s="104">
        <f t="shared" si="162"/>
        <v>-4430.140219979221</v>
      </c>
      <c r="I151" s="14">
        <f t="shared" si="162"/>
        <v>1156.57834055071</v>
      </c>
      <c r="J151" s="14">
        <f t="shared" si="162"/>
        <v>-111310.08673403738</v>
      </c>
      <c r="K151" s="14">
        <f t="shared" si="162"/>
        <v>59521.507990890706</v>
      </c>
      <c r="L151" s="101">
        <f t="shared" si="162"/>
        <v>22218.172040810914</v>
      </c>
      <c r="M151" s="14">
        <f t="shared" si="162"/>
        <v>8350.5767882453219</v>
      </c>
      <c r="N151" s="14">
        <f t="shared" si="162"/>
        <v>16478.50080171373</v>
      </c>
      <c r="O151" s="101">
        <f t="shared" si="162"/>
        <v>-32865.228322131181</v>
      </c>
      <c r="P151" s="101">
        <f t="shared" si="162"/>
        <v>8245.7110428233482</v>
      </c>
      <c r="Q151" s="101">
        <f t="shared" si="162"/>
        <v>5599.9859479211973</v>
      </c>
      <c r="R151" s="101">
        <f t="shared" si="162"/>
        <v>4965.0611023209703</v>
      </c>
      <c r="S151" s="14">
        <f t="shared" si="162"/>
        <v>2010.0774591619011</v>
      </c>
      <c r="T151" s="101">
        <f t="shared" si="162"/>
        <v>39271.511587372421</v>
      </c>
      <c r="U151" s="14">
        <f t="shared" si="162"/>
        <v>2197.4678630270355</v>
      </c>
      <c r="V151" s="14">
        <f t="shared" si="162"/>
        <v>4055.652793080495</v>
      </c>
      <c r="W151" s="14">
        <f t="shared" si="162"/>
        <v>4403.9277599533816</v>
      </c>
      <c r="X151" s="14">
        <f t="shared" si="162"/>
        <v>8455.3978127955634</v>
      </c>
      <c r="Y151" s="14">
        <f t="shared" si="162"/>
        <v>2049.7153759298235</v>
      </c>
      <c r="Z151" s="14">
        <f t="shared" si="162"/>
        <v>2910.1457919846507</v>
      </c>
      <c r="AA151" s="14">
        <f t="shared" si="162"/>
        <v>3592.1464716836417</v>
      </c>
      <c r="AB151" s="101">
        <f t="shared" si="162"/>
        <v>-39197.678970554553</v>
      </c>
      <c r="AC151" s="14">
        <f t="shared" si="162"/>
        <v>1098.0238226623223</v>
      </c>
      <c r="AD151" s="14">
        <f t="shared" si="162"/>
        <v>-10.190909992928937</v>
      </c>
      <c r="AE151" s="14" t="e">
        <f t="shared" ref="AE151" si="163">AE150+0</f>
        <v>#REF!</v>
      </c>
      <c r="AF151" s="101">
        <f t="shared" si="162"/>
        <v>-1133.3660387459277</v>
      </c>
      <c r="AG151" s="101">
        <f t="shared" si="162"/>
        <v>27336.38987908233</v>
      </c>
      <c r="AH151" s="101">
        <f t="shared" si="162"/>
        <v>-57694.60997354635</v>
      </c>
      <c r="AI151" s="101">
        <f t="shared" si="162"/>
        <v>-44515.839386224005</v>
      </c>
      <c r="AJ151" s="91">
        <f t="shared" si="162"/>
        <v>0</v>
      </c>
      <c r="AK151" s="91">
        <f t="shared" si="162"/>
        <v>0</v>
      </c>
      <c r="AL151" s="91">
        <f t="shared" si="162"/>
        <v>0</v>
      </c>
      <c r="AM151" s="91">
        <f t="shared" si="162"/>
        <v>0</v>
      </c>
      <c r="AN151" s="91">
        <f t="shared" si="162"/>
        <v>-206.18654208888526</v>
      </c>
      <c r="AO151" s="91">
        <f t="shared" si="162"/>
        <v>0</v>
      </c>
      <c r="AP151" s="91">
        <f t="shared" si="162"/>
        <v>0</v>
      </c>
      <c r="AQ151" s="101">
        <f t="shared" si="162"/>
        <v>-7972.3630303793398</v>
      </c>
      <c r="AR151" s="101">
        <f t="shared" si="162"/>
        <v>-41808.338487447385</v>
      </c>
      <c r="AS151" s="91">
        <f t="shared" si="162"/>
        <v>0</v>
      </c>
      <c r="AT151" s="101">
        <f t="shared" si="162"/>
        <v>-342.37748978222771</v>
      </c>
      <c r="AU151" s="91">
        <f t="shared" si="162"/>
        <v>0</v>
      </c>
      <c r="AV151" s="91">
        <f t="shared" si="162"/>
        <v>0</v>
      </c>
      <c r="AW151" s="14">
        <f t="shared" si="162"/>
        <v>72644.338429434982</v>
      </c>
      <c r="AX151" s="14">
        <f t="shared" si="162"/>
        <v>26915.26383457064</v>
      </c>
      <c r="AY151" s="91">
        <f t="shared" si="162"/>
        <v>0</v>
      </c>
      <c r="AZ151" s="104">
        <f t="shared" si="162"/>
        <v>-70257.784559279913</v>
      </c>
      <c r="BA151" s="101">
        <f t="shared" si="162"/>
        <v>-157793.79111200152</v>
      </c>
      <c r="BB151" s="14">
        <f t="shared" si="162"/>
        <v>75056.947514745552</v>
      </c>
      <c r="BC151" s="91">
        <f t="shared" si="162"/>
        <v>0</v>
      </c>
      <c r="BD151" s="91">
        <f t="shared" si="162"/>
        <v>0</v>
      </c>
      <c r="BE151" s="91">
        <f t="shared" si="162"/>
        <v>0</v>
      </c>
      <c r="BF151" s="91">
        <f t="shared" si="162"/>
        <v>-704.53370801879362</v>
      </c>
      <c r="BG151" s="104">
        <f t="shared" si="162"/>
        <v>0</v>
      </c>
      <c r="BH151" s="104">
        <f t="shared" si="162"/>
        <v>0</v>
      </c>
      <c r="BI151" s="104" t="e">
        <f t="shared" si="162"/>
        <v>#REF!</v>
      </c>
      <c r="BJ151" s="104">
        <f t="shared" si="162"/>
        <v>2.9289496596902609E-3</v>
      </c>
      <c r="BK151" s="104">
        <f t="shared" si="162"/>
        <v>2.3775860900059342E-3</v>
      </c>
      <c r="BL151" s="104">
        <f t="shared" si="162"/>
        <v>0</v>
      </c>
      <c r="BM151" s="104">
        <f t="shared" si="162"/>
        <v>2.159975323593244E-3</v>
      </c>
      <c r="BN151" s="104">
        <f t="shared" si="162"/>
        <v>0</v>
      </c>
      <c r="BO151" s="104">
        <f t="shared" ref="BO151:CA151" si="164">BO150+0</f>
        <v>-1.2716609053313732E-3</v>
      </c>
      <c r="BP151" s="104">
        <f t="shared" si="164"/>
        <v>3.5491174494381994E-3</v>
      </c>
      <c r="BQ151" s="104">
        <f t="shared" si="164"/>
        <v>3.3056959509849548E-3</v>
      </c>
      <c r="BR151" s="104">
        <f t="shared" si="164"/>
        <v>-66468.003103334864</v>
      </c>
      <c r="BS151" s="104">
        <f t="shared" si="164"/>
        <v>-2.4253642186522484E-3</v>
      </c>
      <c r="BT151" s="104">
        <f t="shared" si="164"/>
        <v>-4.9037709832191467E-3</v>
      </c>
      <c r="BU151" s="104">
        <f t="shared" si="164"/>
        <v>0</v>
      </c>
      <c r="BV151" s="104">
        <f t="shared" si="164"/>
        <v>0</v>
      </c>
      <c r="BW151" s="104">
        <f t="shared" si="164"/>
        <v>0</v>
      </c>
      <c r="BX151" s="91">
        <f t="shared" si="164"/>
        <v>0</v>
      </c>
      <c r="BY151" s="91">
        <f t="shared" si="164"/>
        <v>0</v>
      </c>
      <c r="BZ151" s="91">
        <f t="shared" si="164"/>
        <v>0</v>
      </c>
      <c r="CA151" s="101" t="e">
        <f t="shared" si="164"/>
        <v>#REF!</v>
      </c>
    </row>
    <row r="153" spans="1:95">
      <c r="D153" t="s">
        <v>328</v>
      </c>
      <c r="CQ153" s="21">
        <f>'June 2024 YTD'!BZ150*2</f>
        <v>890468.91999999434</v>
      </c>
    </row>
    <row r="155" spans="1:95">
      <c r="A155" s="20" t="s">
        <v>329</v>
      </c>
      <c r="CQ155" s="21" t="e">
        <f>CA151-CQ153</f>
        <v>#REF!</v>
      </c>
    </row>
    <row r="156" spans="1:95">
      <c r="A156" s="20" t="s">
        <v>330</v>
      </c>
    </row>
    <row r="157" spans="1:95">
      <c r="A157" s="20" t="s">
        <v>331</v>
      </c>
    </row>
    <row r="158" spans="1:95">
      <c r="A158" s="20" t="s">
        <v>332</v>
      </c>
    </row>
    <row r="159" spans="1:95">
      <c r="A159" s="20" t="s">
        <v>333</v>
      </c>
    </row>
    <row r="160" spans="1:95">
      <c r="A160" s="20" t="s">
        <v>334</v>
      </c>
    </row>
    <row r="161" spans="1:79">
      <c r="A161" s="20" t="s">
        <v>335</v>
      </c>
    </row>
    <row r="162" spans="1:79">
      <c r="A162" s="20" t="s">
        <v>336</v>
      </c>
    </row>
    <row r="163" spans="1:79">
      <c r="A163" s="96" t="s">
        <v>337</v>
      </c>
    </row>
    <row r="164" spans="1:79">
      <c r="A164" s="96" t="s">
        <v>338</v>
      </c>
    </row>
    <row r="165" spans="1:79">
      <c r="A165" s="96" t="s">
        <v>339</v>
      </c>
    </row>
    <row r="166" spans="1:79">
      <c r="A166" s="20" t="s">
        <v>340</v>
      </c>
    </row>
    <row r="170" spans="1:79">
      <c r="A170" s="95" t="s">
        <v>341</v>
      </c>
      <c r="B170" s="23"/>
    </row>
    <row r="171" spans="1:79">
      <c r="B171" s="109"/>
    </row>
    <row r="172" spans="1:79">
      <c r="CA172" s="85"/>
    </row>
    <row r="173" spans="1:79"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77"/>
      <c r="AL173" s="77"/>
      <c r="AM173" s="77"/>
      <c r="AN173" s="77"/>
      <c r="AO173" s="77"/>
      <c r="AP173" s="77"/>
      <c r="AQ173" s="77"/>
      <c r="AR173" s="77"/>
      <c r="AS173" s="77"/>
      <c r="AT173" s="77"/>
      <c r="AU173" s="77"/>
      <c r="AV173" s="77"/>
      <c r="AW173" s="77"/>
      <c r="AX173" s="77"/>
      <c r="AY173" s="77"/>
      <c r="AZ173" s="77"/>
      <c r="BA173" s="77"/>
      <c r="BB173" s="77"/>
      <c r="BC173" s="77"/>
      <c r="BD173" s="77"/>
      <c r="BE173" s="77"/>
      <c r="BF173" s="77"/>
      <c r="BG173" s="77"/>
      <c r="BH173" s="77"/>
      <c r="BI173" s="77"/>
      <c r="BJ173" s="77"/>
      <c r="BK173" s="77"/>
      <c r="BL173" s="77"/>
      <c r="BM173" s="77"/>
      <c r="BN173" s="77"/>
      <c r="BO173" s="77"/>
      <c r="BP173" s="77"/>
      <c r="BQ173" s="77"/>
      <c r="BR173" s="77"/>
      <c r="BS173" s="77"/>
      <c r="BT173" s="77"/>
      <c r="BU173" s="77"/>
      <c r="BV173" s="77"/>
      <c r="BW173" s="77"/>
      <c r="BX173" s="77"/>
      <c r="BY173" s="77"/>
      <c r="BZ173" s="77"/>
      <c r="CA173" s="77"/>
    </row>
    <row r="175" spans="1:79"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3"/>
      <c r="AV175" s="83"/>
      <c r="AW175" s="83"/>
      <c r="AX175" s="83"/>
      <c r="AY175" s="83"/>
      <c r="AZ175" s="83"/>
      <c r="BA175" s="83"/>
      <c r="BB175" s="83"/>
      <c r="BC175" s="83"/>
      <c r="BD175" s="83"/>
      <c r="BE175" s="83"/>
      <c r="BF175" s="83"/>
      <c r="BG175" s="83"/>
      <c r="BH175" s="83"/>
      <c r="BI175" s="83"/>
      <c r="BJ175" s="83"/>
      <c r="BK175" s="83"/>
      <c r="BL175" s="83"/>
      <c r="BM175" s="83"/>
      <c r="BN175" s="83"/>
      <c r="BO175" s="83"/>
      <c r="BP175" s="83"/>
      <c r="BQ175" s="83"/>
      <c r="BR175" s="83"/>
      <c r="BS175" s="83"/>
      <c r="BT175" s="83"/>
      <c r="BU175" s="83"/>
      <c r="BV175" s="83"/>
      <c r="BW175" s="83"/>
      <c r="BX175" s="83"/>
      <c r="BY175" s="83"/>
      <c r="BZ175" s="83"/>
    </row>
    <row r="177" spans="1:81">
      <c r="BW177" s="83"/>
      <c r="CA177" s="83"/>
    </row>
    <row r="179" spans="1:81">
      <c r="A179" s="20" t="s">
        <v>342</v>
      </c>
      <c r="B179">
        <v>0</v>
      </c>
      <c r="C179">
        <v>1147058.1958797988</v>
      </c>
      <c r="D179">
        <v>665173.918027704</v>
      </c>
      <c r="E179">
        <v>120241.60919476481</v>
      </c>
      <c r="F179">
        <v>128412.23300485245</v>
      </c>
      <c r="G179">
        <v>74826.711759028971</v>
      </c>
      <c r="H179">
        <v>201160.59130261626</v>
      </c>
      <c r="I179">
        <v>322451.71050927386</v>
      </c>
      <c r="J179">
        <v>642168.30311329814</v>
      </c>
      <c r="K179">
        <v>269325</v>
      </c>
      <c r="L179">
        <v>47276</v>
      </c>
      <c r="M179">
        <v>184806.75</v>
      </c>
      <c r="N179">
        <v>348599.91</v>
      </c>
      <c r="O179">
        <v>80847.64</v>
      </c>
      <c r="P179">
        <v>18100</v>
      </c>
      <c r="Q179">
        <v>9240</v>
      </c>
      <c r="R179">
        <v>9884</v>
      </c>
      <c r="S179">
        <v>21266.91</v>
      </c>
      <c r="T179">
        <v>53996</v>
      </c>
      <c r="U179">
        <v>89750</v>
      </c>
      <c r="V179">
        <v>68071</v>
      </c>
      <c r="W179">
        <v>78002</v>
      </c>
      <c r="X179">
        <v>193364.74</v>
      </c>
      <c r="Y179">
        <v>33792</v>
      </c>
      <c r="Z179">
        <v>65245</v>
      </c>
      <c r="AA179">
        <v>32904.019999999997</v>
      </c>
      <c r="AB179">
        <v>410395.26</v>
      </c>
      <c r="AC179">
        <v>13745.779788751157</v>
      </c>
      <c r="AD179">
        <v>5727.6263587298672</v>
      </c>
      <c r="AE179">
        <v>13745.779788751157</v>
      </c>
      <c r="AF179">
        <v>7519</v>
      </c>
      <c r="AG179">
        <v>3195207.6195999999</v>
      </c>
      <c r="AH179">
        <v>1282279.1978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41592</v>
      </c>
      <c r="AR179">
        <v>6400</v>
      </c>
      <c r="AS179">
        <v>0</v>
      </c>
      <c r="AT179">
        <v>9490.2947417090072</v>
      </c>
      <c r="AU179">
        <v>0</v>
      </c>
      <c r="AV179">
        <v>0</v>
      </c>
      <c r="AW179">
        <v>217810.99994708653</v>
      </c>
      <c r="AX179">
        <v>32910</v>
      </c>
      <c r="AY179">
        <v>0</v>
      </c>
      <c r="AZ179">
        <v>290793.98637238599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 s="94">
        <f>SUM(B179:BZ179)</f>
        <v>10433581.787188748</v>
      </c>
      <c r="CC179" s="21">
        <f>CC33-CA179</f>
        <v>112680.20021126233</v>
      </c>
    </row>
    <row r="180" spans="1:81">
      <c r="A180" s="120">
        <v>404360.45</v>
      </c>
      <c r="B180" s="77">
        <f t="shared" ref="B180:AD180" si="165">B179/$CA$179</f>
        <v>0</v>
      </c>
      <c r="C180" s="77">
        <f t="shared" si="165"/>
        <v>0.10993906208587505</v>
      </c>
      <c r="D180" s="77">
        <f t="shared" si="165"/>
        <v>6.375317044473279E-2</v>
      </c>
      <c r="E180" s="77">
        <f t="shared" si="165"/>
        <v>1.1524480437044911E-2</v>
      </c>
      <c r="F180" s="77">
        <f t="shared" si="165"/>
        <v>1.2307588671277592E-2</v>
      </c>
      <c r="G180" s="77">
        <f t="shared" si="165"/>
        <v>7.171718522483589E-3</v>
      </c>
      <c r="H180" s="77">
        <f t="shared" si="165"/>
        <v>1.9280108730217516E-2</v>
      </c>
      <c r="I180" s="77">
        <f t="shared" si="165"/>
        <v>3.0905178785794147E-2</v>
      </c>
      <c r="J180" s="77">
        <f t="shared" si="165"/>
        <v>6.1548211938282575E-2</v>
      </c>
      <c r="K180" s="77">
        <f t="shared" si="165"/>
        <v>2.5813283059773439E-2</v>
      </c>
      <c r="L180" s="77">
        <f t="shared" si="165"/>
        <v>4.5311381042749434E-3</v>
      </c>
      <c r="M180" s="77">
        <f t="shared" si="165"/>
        <v>1.7712685228281018E-2</v>
      </c>
      <c r="N180" s="77">
        <f t="shared" si="165"/>
        <v>3.3411336309074703E-2</v>
      </c>
      <c r="O180" s="77">
        <f t="shared" si="165"/>
        <v>7.7487905542918834E-3</v>
      </c>
      <c r="P180" s="77">
        <f t="shared" si="165"/>
        <v>1.7347829699504288E-3</v>
      </c>
      <c r="Q180" s="77">
        <f t="shared" si="165"/>
        <v>8.8560191394154492E-4</v>
      </c>
      <c r="R180" s="77">
        <f t="shared" si="165"/>
        <v>9.4732568370110718E-4</v>
      </c>
      <c r="S180" s="77">
        <f t="shared" si="165"/>
        <v>2.0383134415175954E-3</v>
      </c>
      <c r="T180" s="77">
        <f t="shared" si="165"/>
        <v>5.1752122235051582E-3</v>
      </c>
      <c r="U180" s="77">
        <f t="shared" si="165"/>
        <v>8.6020315775166296E-3</v>
      </c>
      <c r="V180" s="77">
        <f t="shared" si="165"/>
        <v>6.5242216324583229E-3</v>
      </c>
      <c r="W180" s="77">
        <f t="shared" si="165"/>
        <v>7.4760520012195223E-3</v>
      </c>
      <c r="X180" s="77">
        <f t="shared" si="165"/>
        <v>1.8532920328226104E-2</v>
      </c>
      <c r="Y180" s="77">
        <f t="shared" si="165"/>
        <v>3.2387727138433642E-3</v>
      </c>
      <c r="Z180" s="77">
        <f t="shared" si="165"/>
        <v>6.2533654626749022E-3</v>
      </c>
      <c r="AA180" s="77">
        <f t="shared" si="165"/>
        <v>3.153664836403774E-3</v>
      </c>
      <c r="AB180" s="77">
        <f t="shared" si="165"/>
        <v>3.9334072264993289E-2</v>
      </c>
      <c r="AC180" s="77">
        <f t="shared" si="165"/>
        <v>1.3174555075256525E-3</v>
      </c>
      <c r="AD180" s="77">
        <f t="shared" si="165"/>
        <v>5.4896069974385414E-4</v>
      </c>
      <c r="AE180" s="77" t="e">
        <f>AE179/$BI$179</f>
        <v>#DIV/0!</v>
      </c>
      <c r="AF180" s="77">
        <f t="shared" ref="AF180:BO180" si="166">AF179/$CA$179</f>
        <v>7.2065376525178319E-4</v>
      </c>
      <c r="AG180" s="77">
        <f t="shared" si="166"/>
        <v>0.30624263889159825</v>
      </c>
      <c r="AH180" s="77">
        <f t="shared" si="166"/>
        <v>0.12289923287652693</v>
      </c>
      <c r="AI180" s="77">
        <f t="shared" si="166"/>
        <v>0</v>
      </c>
      <c r="AJ180" s="77">
        <f t="shared" si="166"/>
        <v>0</v>
      </c>
      <c r="AK180" s="77">
        <f t="shared" si="166"/>
        <v>0</v>
      </c>
      <c r="AL180" s="77">
        <f t="shared" si="166"/>
        <v>0</v>
      </c>
      <c r="AM180" s="77">
        <f t="shared" si="166"/>
        <v>0</v>
      </c>
      <c r="AN180" s="77">
        <f t="shared" si="166"/>
        <v>0</v>
      </c>
      <c r="AO180" s="77">
        <f t="shared" si="166"/>
        <v>0</v>
      </c>
      <c r="AP180" s="77">
        <f t="shared" si="166"/>
        <v>0</v>
      </c>
      <c r="AQ180" s="77">
        <f t="shared" si="166"/>
        <v>3.9863587450927208E-3</v>
      </c>
      <c r="AR180" s="77">
        <f t="shared" si="166"/>
        <v>6.1340392307639472E-4</v>
      </c>
      <c r="AS180" s="77">
        <f t="shared" si="166"/>
        <v>0</v>
      </c>
      <c r="AT180" s="77">
        <f t="shared" si="166"/>
        <v>9.0959125401806023E-4</v>
      </c>
      <c r="AU180" s="77">
        <f t="shared" si="166"/>
        <v>0</v>
      </c>
      <c r="AV180" s="77">
        <f t="shared" si="166"/>
        <v>0</v>
      </c>
      <c r="AW180" s="77">
        <f t="shared" si="166"/>
        <v>2.0875956540114888E-2</v>
      </c>
      <c r="AX180" s="77">
        <f t="shared" si="166"/>
        <v>3.1542379856943988E-3</v>
      </c>
      <c r="AY180" s="77">
        <f t="shared" si="166"/>
        <v>0</v>
      </c>
      <c r="AZ180" s="77">
        <f t="shared" si="166"/>
        <v>2.787096438247582E-2</v>
      </c>
      <c r="BA180" s="77">
        <f t="shared" si="166"/>
        <v>0</v>
      </c>
      <c r="BB180" s="77">
        <f t="shared" si="166"/>
        <v>0</v>
      </c>
      <c r="BC180" s="77">
        <f t="shared" si="166"/>
        <v>0</v>
      </c>
      <c r="BD180" s="77">
        <f t="shared" si="166"/>
        <v>0</v>
      </c>
      <c r="BE180" s="77">
        <f t="shared" si="166"/>
        <v>0</v>
      </c>
      <c r="BF180" s="77">
        <f t="shared" si="166"/>
        <v>0</v>
      </c>
      <c r="BG180" s="77">
        <f t="shared" si="166"/>
        <v>0</v>
      </c>
      <c r="BH180" s="77">
        <f t="shared" si="166"/>
        <v>0</v>
      </c>
      <c r="BI180" s="77">
        <f t="shared" si="166"/>
        <v>0</v>
      </c>
      <c r="BJ180" s="77">
        <f t="shared" si="166"/>
        <v>0</v>
      </c>
      <c r="BK180" s="77">
        <f t="shared" si="166"/>
        <v>0</v>
      </c>
      <c r="BL180" s="77">
        <f t="shared" si="166"/>
        <v>0</v>
      </c>
      <c r="BM180" s="77">
        <f t="shared" si="166"/>
        <v>0</v>
      </c>
      <c r="BN180" s="77">
        <f t="shared" si="166"/>
        <v>0</v>
      </c>
      <c r="BO180" s="77">
        <f t="shared" si="166"/>
        <v>0</v>
      </c>
      <c r="BP180" s="77">
        <f t="shared" ref="BP180:BZ180" si="167">BP179/$CA$179</f>
        <v>0</v>
      </c>
      <c r="BQ180" s="77">
        <f t="shared" si="167"/>
        <v>0</v>
      </c>
      <c r="BR180" s="77">
        <f t="shared" si="167"/>
        <v>0</v>
      </c>
      <c r="BS180" s="77">
        <f t="shared" si="167"/>
        <v>0</v>
      </c>
      <c r="BT180" s="77">
        <f t="shared" si="167"/>
        <v>0</v>
      </c>
      <c r="BU180" s="77">
        <f t="shared" si="167"/>
        <v>0</v>
      </c>
      <c r="BV180" s="77">
        <f t="shared" si="167"/>
        <v>0</v>
      </c>
      <c r="BW180" s="77">
        <f t="shared" si="167"/>
        <v>0</v>
      </c>
      <c r="BX180" s="77">
        <f t="shared" si="167"/>
        <v>0</v>
      </c>
      <c r="BY180" s="77">
        <f t="shared" si="167"/>
        <v>0</v>
      </c>
      <c r="BZ180" s="77">
        <f t="shared" si="167"/>
        <v>0</v>
      </c>
      <c r="CA180" s="77" t="e">
        <f>SUM(B180:BZ180)</f>
        <v>#DIV/0!</v>
      </c>
    </row>
    <row r="181" spans="1:81">
      <c r="A181" s="20" t="s">
        <v>343</v>
      </c>
      <c r="B181">
        <f>$A$180*B180</f>
        <v>0</v>
      </c>
      <c r="C181" s="83">
        <f t="shared" ref="C181:BO181" si="168">$A$180*C180</f>
        <v>44455.008617622378</v>
      </c>
      <c r="D181" s="83">
        <f t="shared" si="168"/>
        <v>25779.260689958854</v>
      </c>
      <c r="E181" s="83">
        <f t="shared" si="168"/>
        <v>4660.0440955396771</v>
      </c>
      <c r="F181" s="83">
        <f t="shared" si="168"/>
        <v>4976.7020935327091</v>
      </c>
      <c r="G181" s="83">
        <f t="shared" si="168"/>
        <v>2899.9593290247994</v>
      </c>
      <c r="H181" s="83">
        <f t="shared" si="168"/>
        <v>7796.113442199683</v>
      </c>
      <c r="I181" s="83">
        <f t="shared" si="168"/>
        <v>12496.832001154175</v>
      </c>
      <c r="J181" s="83">
        <f t="shared" si="168"/>
        <v>24887.662676059314</v>
      </c>
      <c r="K181" s="83">
        <f t="shared" si="168"/>
        <v>10437.870754027364</v>
      </c>
      <c r="L181" s="83">
        <f t="shared" si="168"/>
        <v>1832.213042856763</v>
      </c>
      <c r="M181" s="83">
        <f t="shared" si="168"/>
        <v>7162.3093696160649</v>
      </c>
      <c r="N181" s="83">
        <f t="shared" si="168"/>
        <v>13510.222985038787</v>
      </c>
      <c r="O181" s="83">
        <f t="shared" si="168"/>
        <v>3133.3044354892154</v>
      </c>
      <c r="P181" s="83">
        <f t="shared" si="168"/>
        <v>701.47762238149187</v>
      </c>
      <c r="Q181" s="83">
        <f t="shared" si="168"/>
        <v>358.10238844226438</v>
      </c>
      <c r="R181" s="83">
        <f t="shared" si="168"/>
        <v>383.06103975793735</v>
      </c>
      <c r="S181" s="83">
        <f t="shared" si="168"/>
        <v>824.21334045310357</v>
      </c>
      <c r="T181" s="83">
        <f t="shared" si="168"/>
        <v>2092.6511435420466</v>
      </c>
      <c r="U181" s="83">
        <f t="shared" si="168"/>
        <v>3478.3213595988345</v>
      </c>
      <c r="V181" s="83">
        <f t="shared" si="168"/>
        <v>2638.137195200582</v>
      </c>
      <c r="W181" s="83">
        <f t="shared" si="168"/>
        <v>3023.0197514365268</v>
      </c>
      <c r="X181" s="83">
        <f t="shared" si="168"/>
        <v>7493.9800037356554</v>
      </c>
      <c r="Y181" s="83">
        <f t="shared" si="168"/>
        <v>1309.6315920174241</v>
      </c>
      <c r="Z181" s="83">
        <f t="shared" si="168"/>
        <v>2528.6136725016818</v>
      </c>
      <c r="AA181" s="83">
        <f t="shared" si="168"/>
        <v>1275.2173323974064</v>
      </c>
      <c r="AB181" s="83">
        <f t="shared" si="168"/>
        <v>15905.143161405205</v>
      </c>
      <c r="AC181" s="83">
        <f t="shared" si="168"/>
        <v>532.72690187805119</v>
      </c>
      <c r="AD181" s="83">
        <f t="shared" si="168"/>
        <v>221.97799558073976</v>
      </c>
      <c r="AE181" s="83" t="e">
        <f t="shared" ref="AE181" si="169">$A$180*AE180</f>
        <v>#DIV/0!</v>
      </c>
      <c r="AF181" s="83">
        <f t="shared" si="168"/>
        <v>291.40388081140543</v>
      </c>
      <c r="AG181" s="83">
        <f t="shared" si="168"/>
        <v>123832.41127139417</v>
      </c>
      <c r="AH181" s="83">
        <f t="shared" si="168"/>
        <v>49695.589110607223</v>
      </c>
      <c r="AI181" s="83">
        <f t="shared" si="168"/>
        <v>0</v>
      </c>
      <c r="AJ181" s="83">
        <f t="shared" si="168"/>
        <v>0</v>
      </c>
      <c r="AK181" s="83">
        <f t="shared" si="168"/>
        <v>0</v>
      </c>
      <c r="AL181" s="83">
        <f t="shared" si="168"/>
        <v>0</v>
      </c>
      <c r="AM181" s="83">
        <f t="shared" si="168"/>
        <v>0</v>
      </c>
      <c r="AN181" s="83">
        <f t="shared" si="168"/>
        <v>0</v>
      </c>
      <c r="AO181" s="83">
        <f t="shared" si="168"/>
        <v>0</v>
      </c>
      <c r="AP181" s="83">
        <f t="shared" si="168"/>
        <v>0</v>
      </c>
      <c r="AQ181" s="83">
        <f t="shared" si="168"/>
        <v>1611.9258160271279</v>
      </c>
      <c r="AR181" s="83">
        <f t="shared" si="168"/>
        <v>248.03628636693637</v>
      </c>
      <c r="AS181" s="83">
        <f t="shared" si="168"/>
        <v>0</v>
      </c>
      <c r="AT181" s="83">
        <f t="shared" si="168"/>
        <v>367.80272879080718</v>
      </c>
      <c r="AU181" s="83">
        <f t="shared" si="168"/>
        <v>0</v>
      </c>
      <c r="AV181" s="83">
        <f t="shared" si="168"/>
        <v>0</v>
      </c>
      <c r="AW181" s="83">
        <f t="shared" si="168"/>
        <v>8441.4111807412992</v>
      </c>
      <c r="AX181" s="83">
        <f t="shared" si="168"/>
        <v>1275.4490913024806</v>
      </c>
      <c r="AY181" s="83">
        <f t="shared" si="168"/>
        <v>0</v>
      </c>
      <c r="AZ181" s="83">
        <f t="shared" si="168"/>
        <v>11269.915699631894</v>
      </c>
      <c r="BA181" s="83">
        <f t="shared" si="168"/>
        <v>0</v>
      </c>
      <c r="BB181" s="83">
        <f t="shared" si="168"/>
        <v>0</v>
      </c>
      <c r="BC181" s="83">
        <f t="shared" si="168"/>
        <v>0</v>
      </c>
      <c r="BD181" s="83">
        <f t="shared" si="168"/>
        <v>0</v>
      </c>
      <c r="BE181" s="83">
        <f t="shared" si="168"/>
        <v>0</v>
      </c>
      <c r="BF181" s="83">
        <f t="shared" si="168"/>
        <v>0</v>
      </c>
      <c r="BG181" s="83">
        <f t="shared" si="168"/>
        <v>0</v>
      </c>
      <c r="BH181" s="83">
        <f t="shared" si="168"/>
        <v>0</v>
      </c>
      <c r="BI181" s="83">
        <f t="shared" si="168"/>
        <v>0</v>
      </c>
      <c r="BJ181" s="83">
        <f t="shared" si="168"/>
        <v>0</v>
      </c>
      <c r="BK181" s="83">
        <f t="shared" si="168"/>
        <v>0</v>
      </c>
      <c r="BL181" s="83">
        <f t="shared" si="168"/>
        <v>0</v>
      </c>
      <c r="BM181" s="83">
        <f t="shared" si="168"/>
        <v>0</v>
      </c>
      <c r="BN181" s="83">
        <f t="shared" si="168"/>
        <v>0</v>
      </c>
      <c r="BO181" s="83">
        <f t="shared" si="168"/>
        <v>0</v>
      </c>
      <c r="BP181" s="83">
        <f t="shared" ref="BP181:BZ181" si="170">$A$180*BP180</f>
        <v>0</v>
      </c>
      <c r="BQ181" s="83">
        <f t="shared" si="170"/>
        <v>0</v>
      </c>
      <c r="BR181" s="83">
        <f t="shared" si="170"/>
        <v>0</v>
      </c>
      <c r="BS181" s="83">
        <f t="shared" si="170"/>
        <v>0</v>
      </c>
      <c r="BT181" s="83">
        <f t="shared" si="170"/>
        <v>0</v>
      </c>
      <c r="BU181" s="83">
        <f t="shared" si="170"/>
        <v>0</v>
      </c>
      <c r="BV181" s="83">
        <f t="shared" si="170"/>
        <v>0</v>
      </c>
      <c r="BW181" s="83">
        <f t="shared" si="170"/>
        <v>0</v>
      </c>
      <c r="BX181" s="83">
        <f t="shared" si="170"/>
        <v>0</v>
      </c>
      <c r="BY181" s="83">
        <f t="shared" si="170"/>
        <v>0</v>
      </c>
      <c r="BZ181" s="83">
        <f t="shared" si="170"/>
        <v>0</v>
      </c>
      <c r="CA181" t="e">
        <f>SUM(B181:BZ181)</f>
        <v>#DIV/0!</v>
      </c>
    </row>
    <row r="184" spans="1:81">
      <c r="A184" t="s">
        <v>140</v>
      </c>
      <c r="C184">
        <v>2867.1904</v>
      </c>
      <c r="D184">
        <v>1213.1546000000001</v>
      </c>
      <c r="E184">
        <v>429.92199999999997</v>
      </c>
      <c r="F184">
        <v>0</v>
      </c>
      <c r="G184">
        <v>180.5384</v>
      </c>
      <c r="H184">
        <v>258.05619999999999</v>
      </c>
      <c r="I184">
        <v>1463.8566000000001</v>
      </c>
      <c r="J184">
        <v>508.98480000000006</v>
      </c>
      <c r="K184">
        <v>696.79500000000007</v>
      </c>
      <c r="L184">
        <v>0</v>
      </c>
      <c r="M184">
        <v>0</v>
      </c>
      <c r="N184">
        <v>77.517800000000008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69.916399999999996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86.190400000000011</v>
      </c>
      <c r="AB184">
        <v>508.98480000000006</v>
      </c>
      <c r="AC184">
        <v>0</v>
      </c>
      <c r="AD184">
        <v>0</v>
      </c>
      <c r="AE184">
        <v>0</v>
      </c>
      <c r="AF184">
        <v>0</v>
      </c>
      <c r="AG184">
        <v>928.38020000000006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258.07679999999999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 s="109">
        <v>9547.5644000000011</v>
      </c>
      <c r="CB184">
        <v>972.02</v>
      </c>
      <c r="CC184">
        <f>CA184+CB184</f>
        <v>10519.584400000002</v>
      </c>
    </row>
    <row r="185" spans="1:81">
      <c r="A185" t="s">
        <v>141</v>
      </c>
      <c r="C185">
        <v>272.27019999999999</v>
      </c>
      <c r="D185">
        <v>163.0284</v>
      </c>
      <c r="E185">
        <v>22.330400000000001</v>
      </c>
      <c r="F185">
        <v>29.6022</v>
      </c>
      <c r="G185">
        <v>0</v>
      </c>
      <c r="H185">
        <v>31.826999999999998</v>
      </c>
      <c r="I185">
        <v>63.551000000000002</v>
      </c>
      <c r="J185">
        <v>154.1498</v>
      </c>
      <c r="K185">
        <v>32.136000000000003</v>
      </c>
      <c r="L185">
        <v>7.8279999999999994</v>
      </c>
      <c r="M185">
        <v>31.0854</v>
      </c>
      <c r="N185">
        <v>81.43180000000001</v>
      </c>
      <c r="O185">
        <v>11.556600000000001</v>
      </c>
      <c r="P185">
        <v>0.67980000000000007</v>
      </c>
      <c r="Q185">
        <v>0.98880000000000001</v>
      </c>
      <c r="R185">
        <v>0.98880000000000001</v>
      </c>
      <c r="S185">
        <v>0.72099999999999997</v>
      </c>
      <c r="T185">
        <v>0</v>
      </c>
      <c r="U185">
        <v>28.489800000000002</v>
      </c>
      <c r="V185">
        <v>0</v>
      </c>
      <c r="W185">
        <v>0</v>
      </c>
      <c r="X185">
        <v>59.657600000000002</v>
      </c>
      <c r="Y185">
        <v>0</v>
      </c>
      <c r="Z185">
        <v>16.418199999999999</v>
      </c>
      <c r="AA185">
        <v>12.1952</v>
      </c>
      <c r="AB185">
        <v>99.848200000000006</v>
      </c>
      <c r="AC185">
        <v>0</v>
      </c>
      <c r="AD185">
        <v>0</v>
      </c>
      <c r="AE185">
        <v>0</v>
      </c>
      <c r="AF185">
        <v>0</v>
      </c>
      <c r="AG185">
        <v>96.3874</v>
      </c>
      <c r="AH185">
        <v>42.806800000000003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3.0488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5.8091999999999997</v>
      </c>
      <c r="AX185">
        <v>8.7138000000000009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16.129799999999999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 s="109">
        <v>1293.6799999999998</v>
      </c>
      <c r="CB185">
        <v>155</v>
      </c>
      <c r="CC185">
        <f t="shared" ref="CC185:CC186" si="171">CA185+CB185</f>
        <v>1448.6799999999998</v>
      </c>
    </row>
    <row r="186" spans="1:81">
      <c r="A186" t="s">
        <v>142</v>
      </c>
      <c r="C186">
        <v>7511.5634</v>
      </c>
      <c r="D186">
        <v>4062.3406</v>
      </c>
      <c r="E186">
        <v>246.3554</v>
      </c>
      <c r="F186">
        <v>455.05400000000003</v>
      </c>
      <c r="G186">
        <v>0</v>
      </c>
      <c r="H186">
        <v>12894.8172</v>
      </c>
      <c r="I186">
        <v>1737.3422</v>
      </c>
      <c r="J186">
        <v>3258.7140000000004</v>
      </c>
      <c r="K186">
        <v>840.72720000000004</v>
      </c>
      <c r="L186">
        <v>12.236400000000001</v>
      </c>
      <c r="M186">
        <v>426.46120000000002</v>
      </c>
      <c r="N186">
        <v>881.10320000000013</v>
      </c>
      <c r="O186">
        <v>17.5306</v>
      </c>
      <c r="P186">
        <v>1.2565999999999999</v>
      </c>
      <c r="Q186">
        <v>1.7303999999999999</v>
      </c>
      <c r="R186">
        <v>1.7303999999999999</v>
      </c>
      <c r="S186">
        <v>1.5656000000000001</v>
      </c>
      <c r="T186">
        <v>0</v>
      </c>
      <c r="U186">
        <v>353.57839999999999</v>
      </c>
      <c r="V186">
        <v>0</v>
      </c>
      <c r="W186">
        <v>0</v>
      </c>
      <c r="X186">
        <v>847.25740000000008</v>
      </c>
      <c r="Y186">
        <v>0</v>
      </c>
      <c r="Z186">
        <v>26.532800000000002</v>
      </c>
      <c r="AA186">
        <v>122.6524</v>
      </c>
      <c r="AB186">
        <v>1542.3838000000001</v>
      </c>
      <c r="AC186">
        <v>0</v>
      </c>
      <c r="AD186">
        <v>0</v>
      </c>
      <c r="AE186">
        <v>0</v>
      </c>
      <c r="AF186">
        <v>0</v>
      </c>
      <c r="AG186">
        <v>1693.6496</v>
      </c>
      <c r="AH186">
        <v>1424.3252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4.7791999999999994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9.1052</v>
      </c>
      <c r="AX186">
        <v>34.360799999999998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24.308000000000003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 s="109">
        <v>38433.461199999998</v>
      </c>
      <c r="CB186">
        <v>3412.48</v>
      </c>
      <c r="CC186">
        <f t="shared" si="171"/>
        <v>41845.941200000001</v>
      </c>
    </row>
    <row r="188" spans="1:81">
      <c r="A188" t="s">
        <v>140</v>
      </c>
      <c r="C188" s="77">
        <f t="shared" ref="C188:AD188" si="172">C184/$CA$184</f>
        <v>0.30030595027984308</v>
      </c>
      <c r="D188" s="77">
        <f t="shared" si="172"/>
        <v>0.12706430134160707</v>
      </c>
      <c r="E188" s="77">
        <f t="shared" si="172"/>
        <v>4.5029494642633665E-2</v>
      </c>
      <c r="F188" s="77">
        <f t="shared" si="172"/>
        <v>0</v>
      </c>
      <c r="G188" s="77">
        <f t="shared" si="172"/>
        <v>1.8909367084237731E-2</v>
      </c>
      <c r="H188" s="77">
        <f t="shared" si="172"/>
        <v>2.7028484877253088E-2</v>
      </c>
      <c r="I188" s="77">
        <f t="shared" si="172"/>
        <v>0.15332251647341597</v>
      </c>
      <c r="J188" s="77">
        <f t="shared" si="172"/>
        <v>5.3310433810742353E-2</v>
      </c>
      <c r="K188" s="77">
        <f t="shared" si="172"/>
        <v>7.2981440167085965E-2</v>
      </c>
      <c r="L188" s="77">
        <f t="shared" si="172"/>
        <v>0</v>
      </c>
      <c r="M188" s="77">
        <f t="shared" si="172"/>
        <v>0</v>
      </c>
      <c r="N188" s="77">
        <f t="shared" si="172"/>
        <v>8.1191177930153586E-3</v>
      </c>
      <c r="O188" s="77">
        <f t="shared" si="172"/>
        <v>0</v>
      </c>
      <c r="P188" s="77">
        <f t="shared" si="172"/>
        <v>0</v>
      </c>
      <c r="Q188" s="77">
        <f t="shared" si="172"/>
        <v>0</v>
      </c>
      <c r="R188" s="77">
        <f t="shared" si="172"/>
        <v>0</v>
      </c>
      <c r="S188" s="77">
        <f t="shared" si="172"/>
        <v>0</v>
      </c>
      <c r="T188" s="77">
        <f t="shared" si="172"/>
        <v>0</v>
      </c>
      <c r="U188" s="77">
        <f t="shared" si="172"/>
        <v>7.3229566275562373E-3</v>
      </c>
      <c r="V188" s="77">
        <f t="shared" si="172"/>
        <v>0</v>
      </c>
      <c r="W188" s="77">
        <f t="shared" si="172"/>
        <v>0</v>
      </c>
      <c r="X188" s="77">
        <f t="shared" si="172"/>
        <v>0</v>
      </c>
      <c r="Y188" s="77">
        <f t="shared" si="172"/>
        <v>0</v>
      </c>
      <c r="Z188" s="77">
        <f t="shared" si="172"/>
        <v>0</v>
      </c>
      <c r="AA188" s="77">
        <f t="shared" si="172"/>
        <v>9.0274751118725113E-3</v>
      </c>
      <c r="AB188" s="77">
        <f t="shared" si="172"/>
        <v>5.3310433810742353E-2</v>
      </c>
      <c r="AC188" s="77">
        <f t="shared" si="172"/>
        <v>0</v>
      </c>
      <c r="AD188" s="77">
        <f t="shared" si="172"/>
        <v>0</v>
      </c>
      <c r="AE188" s="77" t="e">
        <f>AE184/$BI$184</f>
        <v>#DIV/0!</v>
      </c>
      <c r="AF188" s="77">
        <f t="shared" ref="AF188:BP188" si="173">AF184/$CA$184</f>
        <v>0</v>
      </c>
      <c r="AG188" s="77">
        <f t="shared" si="173"/>
        <v>9.7237385484406885E-2</v>
      </c>
      <c r="AH188" s="77">
        <f t="shared" si="173"/>
        <v>0</v>
      </c>
      <c r="AI188" s="77">
        <f t="shared" si="173"/>
        <v>0</v>
      </c>
      <c r="AJ188" s="77">
        <f t="shared" si="173"/>
        <v>0</v>
      </c>
      <c r="AK188" s="77">
        <f t="shared" si="173"/>
        <v>0</v>
      </c>
      <c r="AL188" s="77">
        <f t="shared" si="173"/>
        <v>0</v>
      </c>
      <c r="AM188" s="77">
        <f t="shared" si="173"/>
        <v>0</v>
      </c>
      <c r="AN188" s="77">
        <f t="shared" si="173"/>
        <v>0</v>
      </c>
      <c r="AO188" s="77">
        <f t="shared" si="173"/>
        <v>0</v>
      </c>
      <c r="AP188" s="77">
        <f t="shared" si="173"/>
        <v>0</v>
      </c>
      <c r="AQ188" s="77">
        <f t="shared" si="173"/>
        <v>0</v>
      </c>
      <c r="AR188" s="77">
        <f t="shared" si="173"/>
        <v>0</v>
      </c>
      <c r="AS188" s="77">
        <f t="shared" si="173"/>
        <v>0</v>
      </c>
      <c r="AT188" s="77">
        <f t="shared" si="173"/>
        <v>0</v>
      </c>
      <c r="AU188" s="77">
        <f t="shared" si="173"/>
        <v>0</v>
      </c>
      <c r="AV188" s="77">
        <f t="shared" si="173"/>
        <v>0</v>
      </c>
      <c r="AW188" s="77">
        <f t="shared" si="173"/>
        <v>0</v>
      </c>
      <c r="AX188" s="77">
        <f t="shared" si="173"/>
        <v>0</v>
      </c>
      <c r="AY188" s="77">
        <f t="shared" si="173"/>
        <v>0</v>
      </c>
      <c r="AZ188" s="77">
        <f t="shared" si="173"/>
        <v>0</v>
      </c>
      <c r="BA188" s="77">
        <f t="shared" si="173"/>
        <v>0</v>
      </c>
      <c r="BB188" s="77">
        <f t="shared" si="173"/>
        <v>0</v>
      </c>
      <c r="BC188" s="77">
        <f t="shared" si="173"/>
        <v>0</v>
      </c>
      <c r="BD188" s="77">
        <f t="shared" si="173"/>
        <v>0</v>
      </c>
      <c r="BE188" s="77">
        <f t="shared" si="173"/>
        <v>0</v>
      </c>
      <c r="BF188" s="77">
        <f t="shared" si="173"/>
        <v>0</v>
      </c>
      <c r="BG188" s="77">
        <f t="shared" si="173"/>
        <v>2.7030642495587665E-2</v>
      </c>
      <c r="BH188" s="77">
        <f t="shared" si="173"/>
        <v>0</v>
      </c>
      <c r="BI188" s="77">
        <f t="shared" si="173"/>
        <v>0</v>
      </c>
      <c r="BJ188" s="77">
        <f t="shared" si="173"/>
        <v>0</v>
      </c>
      <c r="BK188" s="77">
        <f t="shared" si="173"/>
        <v>0</v>
      </c>
      <c r="BL188" s="77">
        <f t="shared" si="173"/>
        <v>0</v>
      </c>
      <c r="BM188" s="77">
        <f t="shared" si="173"/>
        <v>0</v>
      </c>
      <c r="BN188" s="77">
        <f t="shared" si="173"/>
        <v>0</v>
      </c>
      <c r="BO188" s="77">
        <f t="shared" si="173"/>
        <v>0</v>
      </c>
      <c r="BP188" s="77">
        <f t="shared" si="173"/>
        <v>0</v>
      </c>
      <c r="BQ188" s="77">
        <f t="shared" ref="BQ188:BZ188" si="174">BQ184/$CA$184</f>
        <v>0</v>
      </c>
      <c r="BR188" s="77">
        <f t="shared" si="174"/>
        <v>0</v>
      </c>
      <c r="BS188" s="77">
        <f t="shared" si="174"/>
        <v>0</v>
      </c>
      <c r="BT188" s="77">
        <f t="shared" si="174"/>
        <v>0</v>
      </c>
      <c r="BU188" s="77">
        <f t="shared" si="174"/>
        <v>0</v>
      </c>
      <c r="BV188" s="77">
        <f t="shared" si="174"/>
        <v>0</v>
      </c>
      <c r="BW188" s="77">
        <f t="shared" si="174"/>
        <v>0</v>
      </c>
      <c r="BX188" s="77">
        <f t="shared" si="174"/>
        <v>0</v>
      </c>
      <c r="BY188" s="77">
        <f t="shared" si="174"/>
        <v>0</v>
      </c>
      <c r="BZ188" s="77">
        <f t="shared" si="174"/>
        <v>0</v>
      </c>
      <c r="CA188" s="77" t="e">
        <f>SUM(C188:BZ188)</f>
        <v>#DIV/0!</v>
      </c>
    </row>
    <row r="189" spans="1:81">
      <c r="A189" t="s">
        <v>141</v>
      </c>
      <c r="C189" s="77">
        <f t="shared" ref="C189:AD189" si="175">C185/$CA$185</f>
        <v>0.21046178343949046</v>
      </c>
      <c r="D189" s="77">
        <f t="shared" si="175"/>
        <v>0.12601910828025481</v>
      </c>
      <c r="E189" s="77">
        <f t="shared" si="175"/>
        <v>1.7261146496815288E-2</v>
      </c>
      <c r="F189" s="77">
        <f t="shared" si="175"/>
        <v>2.2882165605095543E-2</v>
      </c>
      <c r="G189" s="77">
        <f t="shared" si="175"/>
        <v>0</v>
      </c>
      <c r="H189" s="77">
        <f t="shared" si="175"/>
        <v>2.4601910828025479E-2</v>
      </c>
      <c r="I189" s="77">
        <f t="shared" si="175"/>
        <v>4.9124203821656061E-2</v>
      </c>
      <c r="J189" s="77">
        <f t="shared" si="175"/>
        <v>0.11915605095541403</v>
      </c>
      <c r="K189" s="77">
        <f t="shared" si="175"/>
        <v>2.4840764331210196E-2</v>
      </c>
      <c r="L189" s="77">
        <f t="shared" si="175"/>
        <v>6.0509554140127392E-3</v>
      </c>
      <c r="M189" s="77">
        <f t="shared" si="175"/>
        <v>2.4028662420382169E-2</v>
      </c>
      <c r="N189" s="77">
        <f t="shared" si="175"/>
        <v>6.2945859872611476E-2</v>
      </c>
      <c r="O189" s="77">
        <f t="shared" si="175"/>
        <v>8.9331210191082831E-3</v>
      </c>
      <c r="P189" s="77">
        <f t="shared" si="175"/>
        <v>5.2547770700636957E-4</v>
      </c>
      <c r="Q189" s="77">
        <f t="shared" si="175"/>
        <v>7.6433121019108289E-4</v>
      </c>
      <c r="R189" s="77">
        <f t="shared" si="175"/>
        <v>7.6433121019108289E-4</v>
      </c>
      <c r="S189" s="77">
        <f t="shared" si="175"/>
        <v>5.573248407643313E-4</v>
      </c>
      <c r="T189" s="77">
        <f t="shared" si="175"/>
        <v>0</v>
      </c>
      <c r="U189" s="77">
        <f t="shared" si="175"/>
        <v>2.2022292993630579E-2</v>
      </c>
      <c r="V189" s="77">
        <f t="shared" si="175"/>
        <v>0</v>
      </c>
      <c r="W189" s="77">
        <f t="shared" si="175"/>
        <v>0</v>
      </c>
      <c r="X189" s="77">
        <f t="shared" si="175"/>
        <v>4.6114649681528667E-2</v>
      </c>
      <c r="Y189" s="77">
        <f t="shared" si="175"/>
        <v>0</v>
      </c>
      <c r="Z189" s="77">
        <f t="shared" si="175"/>
        <v>1.2691082802547771E-2</v>
      </c>
      <c r="AA189" s="77">
        <f t="shared" si="175"/>
        <v>9.4267515923566886E-3</v>
      </c>
      <c r="AB189" s="77">
        <f t="shared" si="175"/>
        <v>7.7181528662420396E-2</v>
      </c>
      <c r="AC189" s="77">
        <f t="shared" si="175"/>
        <v>0</v>
      </c>
      <c r="AD189" s="77">
        <f t="shared" si="175"/>
        <v>0</v>
      </c>
      <c r="AE189" s="77" t="e">
        <f>AE185/$BI$185</f>
        <v>#DIV/0!</v>
      </c>
      <c r="AF189" s="77">
        <f t="shared" ref="AF189:BP189" si="176">AF185/$CA$185</f>
        <v>0</v>
      </c>
      <c r="AG189" s="77">
        <f t="shared" si="176"/>
        <v>7.4506369426751595E-2</v>
      </c>
      <c r="AH189" s="77">
        <f t="shared" si="176"/>
        <v>3.3089171974522297E-2</v>
      </c>
      <c r="AI189" s="77">
        <f t="shared" si="176"/>
        <v>0</v>
      </c>
      <c r="AJ189" s="77">
        <f t="shared" si="176"/>
        <v>0</v>
      </c>
      <c r="AK189" s="77">
        <f t="shared" si="176"/>
        <v>0</v>
      </c>
      <c r="AL189" s="77">
        <f t="shared" si="176"/>
        <v>0</v>
      </c>
      <c r="AM189" s="77">
        <f t="shared" si="176"/>
        <v>0</v>
      </c>
      <c r="AN189" s="77">
        <f t="shared" si="176"/>
        <v>0</v>
      </c>
      <c r="AO189" s="77">
        <f t="shared" si="176"/>
        <v>0</v>
      </c>
      <c r="AP189" s="77">
        <f t="shared" si="176"/>
        <v>0</v>
      </c>
      <c r="AQ189" s="77">
        <f t="shared" si="176"/>
        <v>2.3566878980891721E-3</v>
      </c>
      <c r="AR189" s="77">
        <f t="shared" si="176"/>
        <v>0</v>
      </c>
      <c r="AS189" s="77">
        <f t="shared" si="176"/>
        <v>0</v>
      </c>
      <c r="AT189" s="77">
        <f t="shared" si="176"/>
        <v>0</v>
      </c>
      <c r="AU189" s="77">
        <f t="shared" si="176"/>
        <v>0</v>
      </c>
      <c r="AV189" s="77">
        <f t="shared" si="176"/>
        <v>0</v>
      </c>
      <c r="AW189" s="77">
        <f t="shared" si="176"/>
        <v>4.4904458598726115E-3</v>
      </c>
      <c r="AX189" s="77">
        <f t="shared" si="176"/>
        <v>6.735668789808919E-3</v>
      </c>
      <c r="AY189" s="77">
        <f t="shared" si="176"/>
        <v>0</v>
      </c>
      <c r="AZ189" s="77">
        <f t="shared" si="176"/>
        <v>0</v>
      </c>
      <c r="BA189" s="77">
        <f t="shared" si="176"/>
        <v>0</v>
      </c>
      <c r="BB189" s="77">
        <f t="shared" si="176"/>
        <v>0</v>
      </c>
      <c r="BC189" s="77">
        <f t="shared" si="176"/>
        <v>0</v>
      </c>
      <c r="BD189" s="77">
        <f t="shared" si="176"/>
        <v>0</v>
      </c>
      <c r="BE189" s="77">
        <f t="shared" si="176"/>
        <v>0</v>
      </c>
      <c r="BF189" s="77">
        <f t="shared" si="176"/>
        <v>0</v>
      </c>
      <c r="BG189" s="77">
        <f t="shared" si="176"/>
        <v>1.246815286624204E-2</v>
      </c>
      <c r="BH189" s="77">
        <f t="shared" si="176"/>
        <v>0</v>
      </c>
      <c r="BI189" s="77">
        <f t="shared" si="176"/>
        <v>0</v>
      </c>
      <c r="BJ189" s="77">
        <f t="shared" si="176"/>
        <v>0</v>
      </c>
      <c r="BK189" s="77">
        <f t="shared" si="176"/>
        <v>0</v>
      </c>
      <c r="BL189" s="77">
        <f t="shared" si="176"/>
        <v>0</v>
      </c>
      <c r="BM189" s="77">
        <f t="shared" si="176"/>
        <v>0</v>
      </c>
      <c r="BN189" s="77">
        <f t="shared" si="176"/>
        <v>0</v>
      </c>
      <c r="BO189" s="77">
        <f t="shared" si="176"/>
        <v>0</v>
      </c>
      <c r="BP189" s="77">
        <f t="shared" si="176"/>
        <v>0</v>
      </c>
      <c r="BQ189" s="77">
        <f t="shared" ref="BQ189:BZ189" si="177">BQ185/$CA$185</f>
        <v>0</v>
      </c>
      <c r="BR189" s="77">
        <f t="shared" si="177"/>
        <v>0</v>
      </c>
      <c r="BS189" s="77">
        <f t="shared" si="177"/>
        <v>0</v>
      </c>
      <c r="BT189" s="77">
        <f t="shared" si="177"/>
        <v>0</v>
      </c>
      <c r="BU189" s="77">
        <f t="shared" si="177"/>
        <v>0</v>
      </c>
      <c r="BV189" s="77">
        <f t="shared" si="177"/>
        <v>0</v>
      </c>
      <c r="BW189" s="77">
        <f t="shared" si="177"/>
        <v>0</v>
      </c>
      <c r="BX189" s="77">
        <f t="shared" si="177"/>
        <v>0</v>
      </c>
      <c r="BY189" s="77">
        <f t="shared" si="177"/>
        <v>0</v>
      </c>
      <c r="BZ189" s="77">
        <f t="shared" si="177"/>
        <v>0</v>
      </c>
      <c r="CA189" s="77" t="e">
        <f t="shared" ref="CA189:CA190" si="178">SUM(C189:BZ189)</f>
        <v>#DIV/0!</v>
      </c>
    </row>
    <row r="190" spans="1:81">
      <c r="A190" t="s">
        <v>142</v>
      </c>
      <c r="C190" s="77">
        <f t="shared" ref="C190:AD190" si="179">C186/$CA$186</f>
        <v>0.19544332374623602</v>
      </c>
      <c r="D190" s="77">
        <f t="shared" si="179"/>
        <v>0.10569801608188233</v>
      </c>
      <c r="E190" s="77">
        <f t="shared" si="179"/>
        <v>6.4099196977866783E-3</v>
      </c>
      <c r="F190" s="77">
        <f t="shared" si="179"/>
        <v>1.1840047338749705E-2</v>
      </c>
      <c r="G190" s="77">
        <f t="shared" si="179"/>
        <v>0</v>
      </c>
      <c r="H190" s="77">
        <f t="shared" si="179"/>
        <v>0.33551017257847182</v>
      </c>
      <c r="I190" s="77">
        <f t="shared" si="179"/>
        <v>4.5203896442197099E-2</v>
      </c>
      <c r="J190" s="77">
        <f t="shared" si="179"/>
        <v>8.4788460322173659E-2</v>
      </c>
      <c r="K190" s="77">
        <f t="shared" si="179"/>
        <v>2.1874876052016885E-2</v>
      </c>
      <c r="L190" s="77">
        <f t="shared" si="179"/>
        <v>3.1837881933985174E-4</v>
      </c>
      <c r="M190" s="77">
        <f t="shared" si="179"/>
        <v>1.1096091444400017E-2</v>
      </c>
      <c r="N190" s="77">
        <f t="shared" si="179"/>
        <v>2.2925418957582728E-2</v>
      </c>
      <c r="O190" s="77">
        <f t="shared" si="179"/>
        <v>4.5612857787578084E-4</v>
      </c>
      <c r="P190" s="77">
        <f t="shared" si="179"/>
        <v>3.2695467979345039E-5</v>
      </c>
      <c r="Q190" s="77">
        <f t="shared" si="179"/>
        <v>4.5023267381393169E-5</v>
      </c>
      <c r="R190" s="77">
        <f t="shared" si="179"/>
        <v>4.5023267381393169E-5</v>
      </c>
      <c r="S190" s="77">
        <f t="shared" si="179"/>
        <v>4.0735337154593824E-5</v>
      </c>
      <c r="T190" s="77">
        <f t="shared" si="179"/>
        <v>0</v>
      </c>
      <c r="U190" s="77">
        <f t="shared" si="179"/>
        <v>9.1997543015980045E-3</v>
      </c>
      <c r="V190" s="77">
        <f t="shared" si="179"/>
        <v>0</v>
      </c>
      <c r="W190" s="77">
        <f t="shared" si="179"/>
        <v>0</v>
      </c>
      <c r="X190" s="77">
        <f t="shared" si="179"/>
        <v>2.2044785287253808E-2</v>
      </c>
      <c r="Y190" s="77">
        <f t="shared" si="179"/>
        <v>0</v>
      </c>
      <c r="Z190" s="77">
        <f t="shared" si="179"/>
        <v>6.903567665146954E-4</v>
      </c>
      <c r="AA190" s="77">
        <f t="shared" si="179"/>
        <v>3.1912920712954163E-3</v>
      </c>
      <c r="AB190" s="77">
        <f t="shared" si="179"/>
        <v>4.0131274983893468E-2</v>
      </c>
      <c r="AC190" s="77">
        <f t="shared" si="179"/>
        <v>0</v>
      </c>
      <c r="AD190" s="77">
        <f t="shared" si="179"/>
        <v>0</v>
      </c>
      <c r="AE190" s="77" t="e">
        <f>AE186/$BI$186</f>
        <v>#DIV/0!</v>
      </c>
      <c r="AF190" s="77">
        <f t="shared" ref="AF190:BP190" si="180">AF186/$CA$186</f>
        <v>0</v>
      </c>
      <c r="AG190" s="77">
        <f t="shared" si="180"/>
        <v>4.4067058940816917E-2</v>
      </c>
      <c r="AH190" s="77">
        <f t="shared" si="180"/>
        <v>3.7059508967670081E-2</v>
      </c>
      <c r="AI190" s="77">
        <f t="shared" si="180"/>
        <v>0</v>
      </c>
      <c r="AJ190" s="77">
        <f t="shared" si="180"/>
        <v>0</v>
      </c>
      <c r="AK190" s="77">
        <f t="shared" si="180"/>
        <v>0</v>
      </c>
      <c r="AL190" s="77">
        <f t="shared" si="180"/>
        <v>0</v>
      </c>
      <c r="AM190" s="77">
        <f t="shared" si="180"/>
        <v>0</v>
      </c>
      <c r="AN190" s="77">
        <f t="shared" si="180"/>
        <v>0</v>
      </c>
      <c r="AO190" s="77">
        <f t="shared" si="180"/>
        <v>0</v>
      </c>
      <c r="AP190" s="77">
        <f t="shared" si="180"/>
        <v>0</v>
      </c>
      <c r="AQ190" s="77">
        <f t="shared" si="180"/>
        <v>1.2434997657718113E-4</v>
      </c>
      <c r="AR190" s="77">
        <f t="shared" si="180"/>
        <v>0</v>
      </c>
      <c r="AS190" s="77">
        <f t="shared" si="180"/>
        <v>0</v>
      </c>
      <c r="AT190" s="77">
        <f t="shared" si="180"/>
        <v>0</v>
      </c>
      <c r="AU190" s="77">
        <f t="shared" si="180"/>
        <v>0</v>
      </c>
      <c r="AV190" s="77">
        <f t="shared" si="180"/>
        <v>0</v>
      </c>
      <c r="AW190" s="77">
        <f t="shared" si="180"/>
        <v>2.3690814503066408E-4</v>
      </c>
      <c r="AX190" s="77">
        <f t="shared" si="180"/>
        <v>8.9403345228766438E-4</v>
      </c>
      <c r="AY190" s="77">
        <f t="shared" si="180"/>
        <v>0</v>
      </c>
      <c r="AZ190" s="77">
        <f t="shared" si="180"/>
        <v>0</v>
      </c>
      <c r="BA190" s="77">
        <f t="shared" si="180"/>
        <v>0</v>
      </c>
      <c r="BB190" s="77">
        <f t="shared" si="180"/>
        <v>0</v>
      </c>
      <c r="BC190" s="77">
        <f t="shared" si="180"/>
        <v>0</v>
      </c>
      <c r="BD190" s="77">
        <f t="shared" si="180"/>
        <v>0</v>
      </c>
      <c r="BE190" s="77">
        <f t="shared" si="180"/>
        <v>0</v>
      </c>
      <c r="BF190" s="77">
        <f t="shared" si="180"/>
        <v>0</v>
      </c>
      <c r="BG190" s="77">
        <f t="shared" si="180"/>
        <v>6.3246970845290418E-4</v>
      </c>
      <c r="BH190" s="77">
        <f t="shared" si="180"/>
        <v>0</v>
      </c>
      <c r="BI190" s="77">
        <f t="shared" si="180"/>
        <v>0</v>
      </c>
      <c r="BJ190" s="77">
        <f t="shared" si="180"/>
        <v>0</v>
      </c>
      <c r="BK190" s="77">
        <f t="shared" si="180"/>
        <v>0</v>
      </c>
      <c r="BL190" s="77">
        <f t="shared" si="180"/>
        <v>0</v>
      </c>
      <c r="BM190" s="77">
        <f t="shared" si="180"/>
        <v>0</v>
      </c>
      <c r="BN190" s="77">
        <f t="shared" si="180"/>
        <v>0</v>
      </c>
      <c r="BO190" s="77">
        <f t="shared" si="180"/>
        <v>0</v>
      </c>
      <c r="BP190" s="77">
        <f t="shared" si="180"/>
        <v>0</v>
      </c>
      <c r="BQ190" s="77">
        <f t="shared" ref="BQ190:BZ190" si="181">BQ186/$CA$186</f>
        <v>0</v>
      </c>
      <c r="BR190" s="77">
        <f t="shared" si="181"/>
        <v>0</v>
      </c>
      <c r="BS190" s="77">
        <f t="shared" si="181"/>
        <v>0</v>
      </c>
      <c r="BT190" s="77">
        <f t="shared" si="181"/>
        <v>0</v>
      </c>
      <c r="BU190" s="77">
        <f t="shared" si="181"/>
        <v>0</v>
      </c>
      <c r="BV190" s="77">
        <f t="shared" si="181"/>
        <v>0</v>
      </c>
      <c r="BW190" s="77">
        <f t="shared" si="181"/>
        <v>0</v>
      </c>
      <c r="BX190" s="77">
        <f t="shared" si="181"/>
        <v>0</v>
      </c>
      <c r="BY190" s="77">
        <f t="shared" si="181"/>
        <v>0</v>
      </c>
      <c r="BZ190" s="77">
        <f t="shared" si="181"/>
        <v>0</v>
      </c>
      <c r="CA190" s="77" t="e">
        <f t="shared" si="178"/>
        <v>#DIV/0!</v>
      </c>
    </row>
    <row r="192" spans="1:81">
      <c r="A192" t="s">
        <v>140</v>
      </c>
      <c r="C192" s="83">
        <f t="shared" ref="C192:AD192" si="182">$CB$184*C188</f>
        <v>291.90338979101307</v>
      </c>
      <c r="D192" s="83">
        <f t="shared" si="182"/>
        <v>123.5090421900689</v>
      </c>
      <c r="E192" s="83">
        <f t="shared" si="182"/>
        <v>43.769569382532772</v>
      </c>
      <c r="F192" s="83">
        <f t="shared" si="182"/>
        <v>0</v>
      </c>
      <c r="G192" s="83">
        <f t="shared" si="182"/>
        <v>18.38028299322076</v>
      </c>
      <c r="H192" s="83">
        <f t="shared" si="182"/>
        <v>26.272227870387546</v>
      </c>
      <c r="I192" s="83">
        <f t="shared" si="182"/>
        <v>149.03255246248978</v>
      </c>
      <c r="J192" s="83">
        <f t="shared" si="182"/>
        <v>51.818807872717784</v>
      </c>
      <c r="K192" s="83">
        <f t="shared" si="182"/>
        <v>70.939419471210897</v>
      </c>
      <c r="L192" s="83">
        <f t="shared" si="182"/>
        <v>0</v>
      </c>
      <c r="M192" s="83">
        <f t="shared" si="182"/>
        <v>0</v>
      </c>
      <c r="N192" s="83">
        <f t="shared" si="182"/>
        <v>7.8919448771667886</v>
      </c>
      <c r="O192" s="83">
        <f t="shared" si="182"/>
        <v>0</v>
      </c>
      <c r="P192" s="83">
        <f t="shared" si="182"/>
        <v>0</v>
      </c>
      <c r="Q192" s="83">
        <f t="shared" si="182"/>
        <v>0</v>
      </c>
      <c r="R192" s="83">
        <f t="shared" si="182"/>
        <v>0</v>
      </c>
      <c r="S192" s="83">
        <f t="shared" si="182"/>
        <v>0</v>
      </c>
      <c r="T192" s="83">
        <f t="shared" si="182"/>
        <v>0</v>
      </c>
      <c r="U192" s="83">
        <f t="shared" si="182"/>
        <v>7.1180603011172137</v>
      </c>
      <c r="V192" s="83">
        <f t="shared" si="182"/>
        <v>0</v>
      </c>
      <c r="W192" s="83">
        <f t="shared" si="182"/>
        <v>0</v>
      </c>
      <c r="X192" s="83">
        <f t="shared" si="182"/>
        <v>0</v>
      </c>
      <c r="Y192" s="83">
        <f t="shared" si="182"/>
        <v>0</v>
      </c>
      <c r="Z192" s="83">
        <f t="shared" si="182"/>
        <v>0</v>
      </c>
      <c r="AA192" s="83">
        <f t="shared" si="182"/>
        <v>8.774886358242318</v>
      </c>
      <c r="AB192" s="83">
        <f t="shared" si="182"/>
        <v>51.818807872717784</v>
      </c>
      <c r="AC192" s="83">
        <f t="shared" si="182"/>
        <v>0</v>
      </c>
      <c r="AD192" s="83">
        <f t="shared" si="182"/>
        <v>0</v>
      </c>
      <c r="AE192" s="83" t="e">
        <f>$BJ$184*AE188</f>
        <v>#DIV/0!</v>
      </c>
      <c r="AF192" s="83">
        <f t="shared" ref="AF192:BP192" si="183">$CB$184*AF188</f>
        <v>0</v>
      </c>
      <c r="AG192" s="83">
        <f t="shared" si="183"/>
        <v>94.516683438553173</v>
      </c>
      <c r="AH192" s="83">
        <f t="shared" si="183"/>
        <v>0</v>
      </c>
      <c r="AI192" s="83">
        <f t="shared" si="183"/>
        <v>0</v>
      </c>
      <c r="AJ192" s="83">
        <f t="shared" si="183"/>
        <v>0</v>
      </c>
      <c r="AK192" s="83">
        <f t="shared" si="183"/>
        <v>0</v>
      </c>
      <c r="AL192" s="83">
        <f t="shared" si="183"/>
        <v>0</v>
      </c>
      <c r="AM192" s="83">
        <f t="shared" si="183"/>
        <v>0</v>
      </c>
      <c r="AN192" s="83">
        <f t="shared" si="183"/>
        <v>0</v>
      </c>
      <c r="AO192" s="83">
        <f t="shared" si="183"/>
        <v>0</v>
      </c>
      <c r="AP192" s="83">
        <f t="shared" si="183"/>
        <v>0</v>
      </c>
      <c r="AQ192" s="83">
        <f t="shared" si="183"/>
        <v>0</v>
      </c>
      <c r="AR192" s="83">
        <f t="shared" si="183"/>
        <v>0</v>
      </c>
      <c r="AS192" s="83">
        <f t="shared" si="183"/>
        <v>0</v>
      </c>
      <c r="AT192" s="83">
        <f t="shared" si="183"/>
        <v>0</v>
      </c>
      <c r="AU192" s="83">
        <f t="shared" si="183"/>
        <v>0</v>
      </c>
      <c r="AV192" s="83">
        <f t="shared" si="183"/>
        <v>0</v>
      </c>
      <c r="AW192" s="83">
        <f t="shared" si="183"/>
        <v>0</v>
      </c>
      <c r="AX192" s="83">
        <f t="shared" si="183"/>
        <v>0</v>
      </c>
      <c r="AY192" s="83">
        <f t="shared" si="183"/>
        <v>0</v>
      </c>
      <c r="AZ192" s="83">
        <f t="shared" si="183"/>
        <v>0</v>
      </c>
      <c r="BA192" s="83">
        <f t="shared" si="183"/>
        <v>0</v>
      </c>
      <c r="BB192" s="83">
        <f t="shared" si="183"/>
        <v>0</v>
      </c>
      <c r="BC192" s="83">
        <f t="shared" si="183"/>
        <v>0</v>
      </c>
      <c r="BD192" s="83">
        <f t="shared" si="183"/>
        <v>0</v>
      </c>
      <c r="BE192" s="83">
        <f t="shared" si="183"/>
        <v>0</v>
      </c>
      <c r="BF192" s="83">
        <f t="shared" si="183"/>
        <v>0</v>
      </c>
      <c r="BG192" s="83">
        <f t="shared" si="183"/>
        <v>26.274325118561123</v>
      </c>
      <c r="BH192" s="83">
        <f t="shared" si="183"/>
        <v>0</v>
      </c>
      <c r="BI192" s="83">
        <f t="shared" si="183"/>
        <v>0</v>
      </c>
      <c r="BJ192" s="83">
        <f t="shared" si="183"/>
        <v>0</v>
      </c>
      <c r="BK192" s="83">
        <f t="shared" si="183"/>
        <v>0</v>
      </c>
      <c r="BL192" s="83">
        <f t="shared" si="183"/>
        <v>0</v>
      </c>
      <c r="BM192" s="83">
        <f t="shared" si="183"/>
        <v>0</v>
      </c>
      <c r="BN192" s="83">
        <f t="shared" si="183"/>
        <v>0</v>
      </c>
      <c r="BO192" s="83">
        <f t="shared" si="183"/>
        <v>0</v>
      </c>
      <c r="BP192" s="83">
        <f t="shared" si="183"/>
        <v>0</v>
      </c>
      <c r="BQ192" s="83">
        <f t="shared" ref="BQ192:BZ192" si="184">$CB$184*BQ188</f>
        <v>0</v>
      </c>
      <c r="BR192" s="83">
        <f t="shared" si="184"/>
        <v>0</v>
      </c>
      <c r="BS192" s="83">
        <f t="shared" si="184"/>
        <v>0</v>
      </c>
      <c r="BT192" s="83">
        <f t="shared" si="184"/>
        <v>0</v>
      </c>
      <c r="BU192" s="83">
        <f t="shared" si="184"/>
        <v>0</v>
      </c>
      <c r="BV192" s="83">
        <f t="shared" si="184"/>
        <v>0</v>
      </c>
      <c r="BW192" s="83">
        <f t="shared" si="184"/>
        <v>0</v>
      </c>
      <c r="BX192" s="83">
        <f t="shared" si="184"/>
        <v>0</v>
      </c>
      <c r="BY192" s="83">
        <f t="shared" si="184"/>
        <v>0</v>
      </c>
      <c r="BZ192" s="83">
        <f t="shared" si="184"/>
        <v>0</v>
      </c>
      <c r="CA192" s="83" t="e">
        <f>SUM(C192:BZ192)</f>
        <v>#DIV/0!</v>
      </c>
    </row>
    <row r="193" spans="1:81">
      <c r="A193" t="s">
        <v>141</v>
      </c>
      <c r="C193" s="83">
        <f t="shared" ref="C193:AD193" si="185">$CB$185*C189</f>
        <v>32.621576433121021</v>
      </c>
      <c r="D193" s="83">
        <f t="shared" si="185"/>
        <v>19.532961783439497</v>
      </c>
      <c r="E193" s="83">
        <f t="shared" si="185"/>
        <v>2.6754777070063698</v>
      </c>
      <c r="F193" s="83">
        <f t="shared" si="185"/>
        <v>3.5467356687898093</v>
      </c>
      <c r="G193" s="83">
        <f t="shared" si="185"/>
        <v>0</v>
      </c>
      <c r="H193" s="83">
        <f t="shared" si="185"/>
        <v>3.8132961783439492</v>
      </c>
      <c r="I193" s="83">
        <f t="shared" si="185"/>
        <v>7.6142515923566894</v>
      </c>
      <c r="J193" s="83">
        <f t="shared" si="185"/>
        <v>18.469187898089174</v>
      </c>
      <c r="K193" s="83">
        <f t="shared" si="185"/>
        <v>3.8503184713375802</v>
      </c>
      <c r="L193" s="83">
        <f t="shared" si="185"/>
        <v>0.93789808917197459</v>
      </c>
      <c r="M193" s="83">
        <f t="shared" si="185"/>
        <v>3.7244426751592363</v>
      </c>
      <c r="N193" s="83">
        <f t="shared" si="185"/>
        <v>9.7566082802547793</v>
      </c>
      <c r="O193" s="83">
        <f t="shared" si="185"/>
        <v>1.3846337579617838</v>
      </c>
      <c r="P193" s="83">
        <f t="shared" si="185"/>
        <v>8.1449044585987285E-2</v>
      </c>
      <c r="Q193" s="83">
        <f t="shared" si="185"/>
        <v>0.11847133757961785</v>
      </c>
      <c r="R193" s="83">
        <f t="shared" si="185"/>
        <v>0.11847133757961785</v>
      </c>
      <c r="S193" s="83">
        <f t="shared" si="185"/>
        <v>8.6385350318471346E-2</v>
      </c>
      <c r="T193" s="83">
        <f t="shared" si="185"/>
        <v>0</v>
      </c>
      <c r="U193" s="83">
        <f t="shared" si="185"/>
        <v>3.41345541401274</v>
      </c>
      <c r="V193" s="83">
        <f t="shared" si="185"/>
        <v>0</v>
      </c>
      <c r="W193" s="83">
        <f t="shared" si="185"/>
        <v>0</v>
      </c>
      <c r="X193" s="83">
        <f t="shared" si="185"/>
        <v>7.1477707006369435</v>
      </c>
      <c r="Y193" s="83">
        <f t="shared" si="185"/>
        <v>0</v>
      </c>
      <c r="Z193" s="83">
        <f t="shared" si="185"/>
        <v>1.9671178343949045</v>
      </c>
      <c r="AA193" s="83">
        <f t="shared" si="185"/>
        <v>1.4611464968152867</v>
      </c>
      <c r="AB193" s="83">
        <f t="shared" si="185"/>
        <v>11.963136942675161</v>
      </c>
      <c r="AC193" s="83">
        <f t="shared" si="185"/>
        <v>0</v>
      </c>
      <c r="AD193" s="83">
        <f t="shared" si="185"/>
        <v>0</v>
      </c>
      <c r="AE193" s="83" t="e">
        <f>$BJ$185*AE189</f>
        <v>#DIV/0!</v>
      </c>
      <c r="AF193" s="83">
        <f t="shared" ref="AF193:BP193" si="186">$CB$185*AF189</f>
        <v>0</v>
      </c>
      <c r="AG193" s="83">
        <f t="shared" si="186"/>
        <v>11.548487261146498</v>
      </c>
      <c r="AH193" s="83">
        <f t="shared" si="186"/>
        <v>5.1288216560509561</v>
      </c>
      <c r="AI193" s="83">
        <f t="shared" si="186"/>
        <v>0</v>
      </c>
      <c r="AJ193" s="83">
        <f t="shared" si="186"/>
        <v>0</v>
      </c>
      <c r="AK193" s="83">
        <f t="shared" si="186"/>
        <v>0</v>
      </c>
      <c r="AL193" s="83">
        <f t="shared" si="186"/>
        <v>0</v>
      </c>
      <c r="AM193" s="83">
        <f t="shared" si="186"/>
        <v>0</v>
      </c>
      <c r="AN193" s="83">
        <f t="shared" si="186"/>
        <v>0</v>
      </c>
      <c r="AO193" s="83">
        <f t="shared" si="186"/>
        <v>0</v>
      </c>
      <c r="AP193" s="83">
        <f t="shared" si="186"/>
        <v>0</v>
      </c>
      <c r="AQ193" s="83">
        <f t="shared" si="186"/>
        <v>0.36528662420382169</v>
      </c>
      <c r="AR193" s="83">
        <f t="shared" si="186"/>
        <v>0</v>
      </c>
      <c r="AS193" s="83">
        <f t="shared" si="186"/>
        <v>0</v>
      </c>
      <c r="AT193" s="83">
        <f t="shared" si="186"/>
        <v>0</v>
      </c>
      <c r="AU193" s="83">
        <f t="shared" si="186"/>
        <v>0</v>
      </c>
      <c r="AV193" s="83">
        <f t="shared" si="186"/>
        <v>0</v>
      </c>
      <c r="AW193" s="83">
        <f t="shared" si="186"/>
        <v>0.69601910828025482</v>
      </c>
      <c r="AX193" s="83">
        <f t="shared" si="186"/>
        <v>1.0440286624203825</v>
      </c>
      <c r="AY193" s="83">
        <f t="shared" si="186"/>
        <v>0</v>
      </c>
      <c r="AZ193" s="83">
        <f t="shared" si="186"/>
        <v>0</v>
      </c>
      <c r="BA193" s="83">
        <f t="shared" si="186"/>
        <v>0</v>
      </c>
      <c r="BB193" s="83">
        <f t="shared" si="186"/>
        <v>0</v>
      </c>
      <c r="BC193" s="83">
        <f t="shared" si="186"/>
        <v>0</v>
      </c>
      <c r="BD193" s="83">
        <f t="shared" si="186"/>
        <v>0</v>
      </c>
      <c r="BE193" s="83">
        <f t="shared" si="186"/>
        <v>0</v>
      </c>
      <c r="BF193" s="83">
        <f t="shared" si="186"/>
        <v>0</v>
      </c>
      <c r="BG193" s="83">
        <f t="shared" si="186"/>
        <v>1.9325636942675162</v>
      </c>
      <c r="BH193" s="83">
        <f t="shared" si="186"/>
        <v>0</v>
      </c>
      <c r="BI193" s="83">
        <f t="shared" si="186"/>
        <v>0</v>
      </c>
      <c r="BJ193" s="83">
        <f t="shared" si="186"/>
        <v>0</v>
      </c>
      <c r="BK193" s="83">
        <f t="shared" si="186"/>
        <v>0</v>
      </c>
      <c r="BL193" s="83">
        <f t="shared" si="186"/>
        <v>0</v>
      </c>
      <c r="BM193" s="83">
        <f t="shared" si="186"/>
        <v>0</v>
      </c>
      <c r="BN193" s="83">
        <f t="shared" si="186"/>
        <v>0</v>
      </c>
      <c r="BO193" s="83">
        <f t="shared" si="186"/>
        <v>0</v>
      </c>
      <c r="BP193" s="83">
        <f t="shared" si="186"/>
        <v>0</v>
      </c>
      <c r="BQ193" s="83">
        <f t="shared" ref="BQ193:BZ193" si="187">$CB$185*BQ189</f>
        <v>0</v>
      </c>
      <c r="BR193" s="83">
        <f t="shared" si="187"/>
        <v>0</v>
      </c>
      <c r="BS193" s="83">
        <f t="shared" si="187"/>
        <v>0</v>
      </c>
      <c r="BT193" s="83">
        <f t="shared" si="187"/>
        <v>0</v>
      </c>
      <c r="BU193" s="83">
        <f t="shared" si="187"/>
        <v>0</v>
      </c>
      <c r="BV193" s="83">
        <f t="shared" si="187"/>
        <v>0</v>
      </c>
      <c r="BW193" s="83">
        <f t="shared" si="187"/>
        <v>0</v>
      </c>
      <c r="BX193" s="83">
        <f t="shared" si="187"/>
        <v>0</v>
      </c>
      <c r="BY193" s="83">
        <f t="shared" si="187"/>
        <v>0</v>
      </c>
      <c r="BZ193" s="83">
        <f t="shared" si="187"/>
        <v>0</v>
      </c>
      <c r="CA193" s="83" t="e">
        <f t="shared" ref="CA193:CA194" si="188">SUM(C193:BZ193)</f>
        <v>#DIV/0!</v>
      </c>
    </row>
    <row r="194" spans="1:81">
      <c r="A194" t="s">
        <v>142</v>
      </c>
      <c r="C194" s="83">
        <f t="shared" ref="C194:AD194" si="189">$CB$186*C190</f>
        <v>666.94643341755545</v>
      </c>
      <c r="D194" s="83">
        <f t="shared" si="189"/>
        <v>360.6923659191018</v>
      </c>
      <c r="E194" s="83">
        <f t="shared" si="189"/>
        <v>21.873722770303083</v>
      </c>
      <c r="F194" s="83">
        <f t="shared" si="189"/>
        <v>40.403924742536596</v>
      </c>
      <c r="G194" s="83">
        <f t="shared" si="189"/>
        <v>0</v>
      </c>
      <c r="H194" s="83">
        <f t="shared" si="189"/>
        <v>1144.9217537205836</v>
      </c>
      <c r="I194" s="83">
        <f t="shared" si="189"/>
        <v>154.25739253106875</v>
      </c>
      <c r="J194" s="83">
        <f t="shared" si="189"/>
        <v>289.33892508021114</v>
      </c>
      <c r="K194" s="83">
        <f t="shared" si="189"/>
        <v>74.647577029986579</v>
      </c>
      <c r="L194" s="83">
        <f t="shared" si="189"/>
        <v>1.0864613534208574</v>
      </c>
      <c r="M194" s="83">
        <f t="shared" si="189"/>
        <v>37.865190132186171</v>
      </c>
      <c r="N194" s="83">
        <f t="shared" si="189"/>
        <v>78.232533684371901</v>
      </c>
      <c r="O194" s="83">
        <f t="shared" si="189"/>
        <v>1.5565296494295446</v>
      </c>
      <c r="P194" s="83">
        <f t="shared" si="189"/>
        <v>0.11157263057015536</v>
      </c>
      <c r="Q194" s="83">
        <f t="shared" si="189"/>
        <v>0.15364099947365656</v>
      </c>
      <c r="R194" s="83">
        <f t="shared" si="189"/>
        <v>0.15364099947365656</v>
      </c>
      <c r="S194" s="83">
        <f t="shared" si="189"/>
        <v>0.13900852333330832</v>
      </c>
      <c r="T194" s="83">
        <f t="shared" si="189"/>
        <v>0</v>
      </c>
      <c r="U194" s="83">
        <f t="shared" si="189"/>
        <v>31.393977559117157</v>
      </c>
      <c r="V194" s="83">
        <f t="shared" si="189"/>
        <v>0</v>
      </c>
      <c r="W194" s="83">
        <f t="shared" si="189"/>
        <v>0</v>
      </c>
      <c r="X194" s="83">
        <f t="shared" si="189"/>
        <v>75.227388897047874</v>
      </c>
      <c r="Y194" s="83">
        <f t="shared" si="189"/>
        <v>0</v>
      </c>
      <c r="Z194" s="83">
        <f t="shared" si="189"/>
        <v>2.3558286585960677</v>
      </c>
      <c r="AA194" s="83">
        <f t="shared" si="189"/>
        <v>10.890220367454182</v>
      </c>
      <c r="AB194" s="83">
        <f t="shared" si="189"/>
        <v>136.94717325703678</v>
      </c>
      <c r="AC194" s="83">
        <f t="shared" si="189"/>
        <v>0</v>
      </c>
      <c r="AD194" s="83">
        <f t="shared" si="189"/>
        <v>0</v>
      </c>
      <c r="AE194" s="83" t="e">
        <f>$BJ$186*AE190</f>
        <v>#DIV/0!</v>
      </c>
      <c r="AF194" s="83">
        <f t="shared" ref="AF194:BP194" si="190">$CB$186*AF190</f>
        <v>0</v>
      </c>
      <c r="AG194" s="83">
        <f t="shared" si="190"/>
        <v>150.37795729435891</v>
      </c>
      <c r="AH194" s="83">
        <f t="shared" si="190"/>
        <v>126.4648331619948</v>
      </c>
      <c r="AI194" s="83">
        <f t="shared" si="190"/>
        <v>0</v>
      </c>
      <c r="AJ194" s="83">
        <f t="shared" si="190"/>
        <v>0</v>
      </c>
      <c r="AK194" s="83">
        <f t="shared" si="190"/>
        <v>0</v>
      </c>
      <c r="AL194" s="83">
        <f t="shared" si="190"/>
        <v>0</v>
      </c>
      <c r="AM194" s="83">
        <f t="shared" si="190"/>
        <v>0</v>
      </c>
      <c r="AN194" s="83">
        <f t="shared" si="190"/>
        <v>0</v>
      </c>
      <c r="AO194" s="83">
        <f t="shared" si="190"/>
        <v>0</v>
      </c>
      <c r="AP194" s="83">
        <f t="shared" si="190"/>
        <v>0</v>
      </c>
      <c r="AQ194" s="83">
        <f t="shared" si="190"/>
        <v>0.42434180807009908</v>
      </c>
      <c r="AR194" s="83">
        <f t="shared" si="190"/>
        <v>0</v>
      </c>
      <c r="AS194" s="83">
        <f t="shared" si="190"/>
        <v>0</v>
      </c>
      <c r="AT194" s="83">
        <f t="shared" si="190"/>
        <v>0</v>
      </c>
      <c r="AU194" s="83">
        <f t="shared" si="190"/>
        <v>0</v>
      </c>
      <c r="AV194" s="83">
        <f t="shared" si="190"/>
        <v>0</v>
      </c>
      <c r="AW194" s="83">
        <f t="shared" si="190"/>
        <v>0.8084443067542405</v>
      </c>
      <c r="AX194" s="83">
        <f t="shared" si="190"/>
        <v>3.050871275262609</v>
      </c>
      <c r="AY194" s="83">
        <f t="shared" si="190"/>
        <v>0</v>
      </c>
      <c r="AZ194" s="83">
        <f t="shared" si="190"/>
        <v>0</v>
      </c>
      <c r="BA194" s="83">
        <f t="shared" si="190"/>
        <v>0</v>
      </c>
      <c r="BB194" s="83">
        <f t="shared" si="190"/>
        <v>0</v>
      </c>
      <c r="BC194" s="83">
        <f t="shared" si="190"/>
        <v>0</v>
      </c>
      <c r="BD194" s="83">
        <f t="shared" si="190"/>
        <v>0</v>
      </c>
      <c r="BE194" s="83">
        <f t="shared" si="190"/>
        <v>0</v>
      </c>
      <c r="BF194" s="83">
        <f t="shared" si="190"/>
        <v>0</v>
      </c>
      <c r="BG194" s="83">
        <f t="shared" si="190"/>
        <v>2.1582902307013665</v>
      </c>
      <c r="BH194" s="83">
        <f t="shared" si="190"/>
        <v>0</v>
      </c>
      <c r="BI194" s="83">
        <f t="shared" si="190"/>
        <v>0</v>
      </c>
      <c r="BJ194" s="83">
        <f t="shared" si="190"/>
        <v>0</v>
      </c>
      <c r="BK194" s="83">
        <f t="shared" si="190"/>
        <v>0</v>
      </c>
      <c r="BL194" s="83">
        <f t="shared" si="190"/>
        <v>0</v>
      </c>
      <c r="BM194" s="83">
        <f t="shared" si="190"/>
        <v>0</v>
      </c>
      <c r="BN194" s="83">
        <f t="shared" si="190"/>
        <v>0</v>
      </c>
      <c r="BO194" s="83">
        <f t="shared" si="190"/>
        <v>0</v>
      </c>
      <c r="BP194" s="83">
        <f t="shared" si="190"/>
        <v>0</v>
      </c>
      <c r="BQ194" s="83">
        <f t="shared" ref="BQ194:BZ194" si="191">$CB$186*BQ190</f>
        <v>0</v>
      </c>
      <c r="BR194" s="83">
        <f t="shared" si="191"/>
        <v>0</v>
      </c>
      <c r="BS194" s="83">
        <f t="shared" si="191"/>
        <v>0</v>
      </c>
      <c r="BT194" s="83">
        <f t="shared" si="191"/>
        <v>0</v>
      </c>
      <c r="BU194" s="83">
        <f t="shared" si="191"/>
        <v>0</v>
      </c>
      <c r="BV194" s="83">
        <f t="shared" si="191"/>
        <v>0</v>
      </c>
      <c r="BW194" s="83">
        <f t="shared" si="191"/>
        <v>0</v>
      </c>
      <c r="BX194" s="83">
        <f t="shared" si="191"/>
        <v>0</v>
      </c>
      <c r="BY194" s="83">
        <f t="shared" si="191"/>
        <v>0</v>
      </c>
      <c r="BZ194" s="83">
        <f t="shared" si="191"/>
        <v>0</v>
      </c>
      <c r="CA194" s="83" t="e">
        <f t="shared" si="188"/>
        <v>#DIV/0!</v>
      </c>
    </row>
    <row r="196" spans="1:81">
      <c r="A196" t="s">
        <v>140</v>
      </c>
      <c r="C196" s="83">
        <f>C184+C192</f>
        <v>3159.093789791013</v>
      </c>
      <c r="D196" s="83">
        <f t="shared" ref="D196:BP198" si="192">D184+D192</f>
        <v>1336.6636421900689</v>
      </c>
      <c r="E196" s="83">
        <f t="shared" si="192"/>
        <v>473.69156938253275</v>
      </c>
      <c r="F196" s="83">
        <f t="shared" si="192"/>
        <v>0</v>
      </c>
      <c r="G196" s="83">
        <f t="shared" si="192"/>
        <v>198.91868299322076</v>
      </c>
      <c r="H196" s="83">
        <f t="shared" si="192"/>
        <v>284.32842787038754</v>
      </c>
      <c r="I196" s="83">
        <f t="shared" si="192"/>
        <v>1612.8891524624898</v>
      </c>
      <c r="J196" s="83">
        <f t="shared" si="192"/>
        <v>560.80360787271786</v>
      </c>
      <c r="K196" s="83">
        <f t="shared" si="192"/>
        <v>767.73441947121091</v>
      </c>
      <c r="L196" s="83">
        <f t="shared" si="192"/>
        <v>0</v>
      </c>
      <c r="M196" s="83">
        <f t="shared" si="192"/>
        <v>0</v>
      </c>
      <c r="N196" s="83">
        <f t="shared" si="192"/>
        <v>85.409744877166801</v>
      </c>
      <c r="O196" s="83">
        <f t="shared" si="192"/>
        <v>0</v>
      </c>
      <c r="P196" s="83">
        <f t="shared" si="192"/>
        <v>0</v>
      </c>
      <c r="Q196" s="83">
        <f t="shared" si="192"/>
        <v>0</v>
      </c>
      <c r="R196" s="83">
        <f t="shared" si="192"/>
        <v>0</v>
      </c>
      <c r="S196" s="83">
        <f t="shared" si="192"/>
        <v>0</v>
      </c>
      <c r="T196" s="83">
        <f t="shared" si="192"/>
        <v>0</v>
      </c>
      <c r="U196" s="83">
        <f t="shared" si="192"/>
        <v>77.034460301117207</v>
      </c>
      <c r="V196" s="83">
        <f t="shared" si="192"/>
        <v>0</v>
      </c>
      <c r="W196" s="83">
        <f t="shared" si="192"/>
        <v>0</v>
      </c>
      <c r="X196" s="83">
        <f t="shared" si="192"/>
        <v>0</v>
      </c>
      <c r="Y196" s="83">
        <f t="shared" si="192"/>
        <v>0</v>
      </c>
      <c r="Z196" s="83">
        <f t="shared" si="192"/>
        <v>0</v>
      </c>
      <c r="AA196" s="83">
        <f t="shared" si="192"/>
        <v>94.965286358242324</v>
      </c>
      <c r="AB196" s="83">
        <f t="shared" si="192"/>
        <v>560.80360787271786</v>
      </c>
      <c r="AC196" s="83">
        <f t="shared" si="192"/>
        <v>0</v>
      </c>
      <c r="AD196" s="83">
        <f t="shared" si="192"/>
        <v>0</v>
      </c>
      <c r="AE196" s="83" t="e">
        <f t="shared" ref="AE196" si="193">AE184+AE192</f>
        <v>#DIV/0!</v>
      </c>
      <c r="AF196" s="83">
        <f t="shared" si="192"/>
        <v>0</v>
      </c>
      <c r="AG196" s="83">
        <f t="shared" si="192"/>
        <v>1022.8968834385532</v>
      </c>
      <c r="AH196" s="83">
        <f t="shared" si="192"/>
        <v>0</v>
      </c>
      <c r="AI196" s="83">
        <f t="shared" si="192"/>
        <v>0</v>
      </c>
      <c r="AJ196" s="83">
        <f t="shared" si="192"/>
        <v>0</v>
      </c>
      <c r="AK196" s="83">
        <f t="shared" si="192"/>
        <v>0</v>
      </c>
      <c r="AL196" s="83">
        <f t="shared" si="192"/>
        <v>0</v>
      </c>
      <c r="AM196" s="83">
        <f t="shared" si="192"/>
        <v>0</v>
      </c>
      <c r="AN196" s="83">
        <f t="shared" si="192"/>
        <v>0</v>
      </c>
      <c r="AO196" s="83">
        <f t="shared" si="192"/>
        <v>0</v>
      </c>
      <c r="AP196" s="83">
        <f t="shared" si="192"/>
        <v>0</v>
      </c>
      <c r="AQ196" s="83">
        <f t="shared" si="192"/>
        <v>0</v>
      </c>
      <c r="AR196" s="83">
        <f t="shared" si="192"/>
        <v>0</v>
      </c>
      <c r="AS196" s="83">
        <f t="shared" si="192"/>
        <v>0</v>
      </c>
      <c r="AT196" s="83">
        <f t="shared" si="192"/>
        <v>0</v>
      </c>
      <c r="AU196" s="83">
        <f t="shared" si="192"/>
        <v>0</v>
      </c>
      <c r="AV196" s="83">
        <f t="shared" si="192"/>
        <v>0</v>
      </c>
      <c r="AW196" s="83">
        <f t="shared" si="192"/>
        <v>0</v>
      </c>
      <c r="AX196" s="83">
        <f t="shared" si="192"/>
        <v>0</v>
      </c>
      <c r="AY196" s="83">
        <f t="shared" si="192"/>
        <v>0</v>
      </c>
      <c r="AZ196" s="83">
        <f t="shared" si="192"/>
        <v>0</v>
      </c>
      <c r="BA196" s="83">
        <f t="shared" si="192"/>
        <v>0</v>
      </c>
      <c r="BB196" s="83">
        <f t="shared" si="192"/>
        <v>0</v>
      </c>
      <c r="BC196" s="83">
        <f t="shared" si="192"/>
        <v>0</v>
      </c>
      <c r="BD196" s="83">
        <f t="shared" si="192"/>
        <v>0</v>
      </c>
      <c r="BE196" s="83">
        <f t="shared" si="192"/>
        <v>0</v>
      </c>
      <c r="BF196" s="83">
        <f t="shared" si="192"/>
        <v>0</v>
      </c>
      <c r="BG196" s="83">
        <f t="shared" si="192"/>
        <v>284.35112511856113</v>
      </c>
      <c r="BH196" s="83">
        <f t="shared" si="192"/>
        <v>0</v>
      </c>
      <c r="BI196" s="83">
        <f t="shared" si="192"/>
        <v>0</v>
      </c>
      <c r="BJ196" s="83">
        <f t="shared" si="192"/>
        <v>0</v>
      </c>
      <c r="BK196" s="83">
        <f t="shared" si="192"/>
        <v>0</v>
      </c>
      <c r="BL196" s="83">
        <f t="shared" si="192"/>
        <v>0</v>
      </c>
      <c r="BM196" s="83">
        <f t="shared" si="192"/>
        <v>0</v>
      </c>
      <c r="BN196" s="83">
        <f t="shared" si="192"/>
        <v>0</v>
      </c>
      <c r="BO196" s="83">
        <f t="shared" si="192"/>
        <v>0</v>
      </c>
      <c r="BP196" s="83">
        <f t="shared" si="192"/>
        <v>0</v>
      </c>
      <c r="BQ196" s="83">
        <f t="shared" ref="BQ196:BZ198" si="194">BQ184+BQ192</f>
        <v>0</v>
      </c>
      <c r="BR196" s="83">
        <f t="shared" si="194"/>
        <v>0</v>
      </c>
      <c r="BS196" s="83">
        <f t="shared" si="194"/>
        <v>0</v>
      </c>
      <c r="BT196" s="83">
        <f t="shared" si="194"/>
        <v>0</v>
      </c>
      <c r="BU196" s="83">
        <f t="shared" si="194"/>
        <v>0</v>
      </c>
      <c r="BV196" s="83">
        <f t="shared" si="194"/>
        <v>0</v>
      </c>
      <c r="BW196" s="83">
        <f t="shared" si="194"/>
        <v>0</v>
      </c>
      <c r="BX196" s="83">
        <f t="shared" si="194"/>
        <v>0</v>
      </c>
      <c r="BY196" s="83">
        <f t="shared" si="194"/>
        <v>0</v>
      </c>
      <c r="BZ196" s="83">
        <f t="shared" si="194"/>
        <v>0</v>
      </c>
      <c r="CA196" s="83" t="e">
        <f>SUM(C196:BZ196)</f>
        <v>#DIV/0!</v>
      </c>
    </row>
    <row r="197" spans="1:81">
      <c r="A197" t="s">
        <v>141</v>
      </c>
      <c r="C197" s="83">
        <f>C185+C193</f>
        <v>304.89177643312098</v>
      </c>
      <c r="D197" s="83">
        <f t="shared" si="192"/>
        <v>182.56136178343951</v>
      </c>
      <c r="E197" s="83">
        <f t="shared" si="192"/>
        <v>25.00587770700637</v>
      </c>
      <c r="F197" s="83">
        <f t="shared" si="192"/>
        <v>33.148935668789811</v>
      </c>
      <c r="G197" s="83">
        <f t="shared" si="192"/>
        <v>0</v>
      </c>
      <c r="H197" s="83">
        <f t="shared" si="192"/>
        <v>35.640296178343945</v>
      </c>
      <c r="I197" s="83">
        <f t="shared" si="192"/>
        <v>71.165251592356697</v>
      </c>
      <c r="J197" s="83">
        <f t="shared" si="192"/>
        <v>172.61898789808919</v>
      </c>
      <c r="K197" s="83">
        <f t="shared" si="192"/>
        <v>35.986318471337583</v>
      </c>
      <c r="L197" s="83">
        <f t="shared" si="192"/>
        <v>8.7658980891719747</v>
      </c>
      <c r="M197" s="83">
        <f t="shared" si="192"/>
        <v>34.809842675159238</v>
      </c>
      <c r="N197" s="83">
        <f t="shared" si="192"/>
        <v>91.188408280254791</v>
      </c>
      <c r="O197" s="83">
        <f t="shared" si="192"/>
        <v>12.941233757961784</v>
      </c>
      <c r="P197" s="83">
        <f t="shared" si="192"/>
        <v>0.76124904458598741</v>
      </c>
      <c r="Q197" s="83">
        <f t="shared" si="192"/>
        <v>1.1072713375796179</v>
      </c>
      <c r="R197" s="83">
        <f t="shared" si="192"/>
        <v>1.1072713375796179</v>
      </c>
      <c r="S197" s="83">
        <f t="shared" si="192"/>
        <v>0.80738535031847136</v>
      </c>
      <c r="T197" s="83">
        <f t="shared" si="192"/>
        <v>0</v>
      </c>
      <c r="U197" s="83">
        <f t="shared" si="192"/>
        <v>31.903255414012744</v>
      </c>
      <c r="V197" s="83">
        <f t="shared" si="192"/>
        <v>0</v>
      </c>
      <c r="W197" s="83">
        <f t="shared" si="192"/>
        <v>0</v>
      </c>
      <c r="X197" s="83">
        <f t="shared" si="192"/>
        <v>66.805370700636942</v>
      </c>
      <c r="Y197" s="83">
        <f t="shared" si="192"/>
        <v>0</v>
      </c>
      <c r="Z197" s="83">
        <f t="shared" si="192"/>
        <v>18.385317834394904</v>
      </c>
      <c r="AA197" s="83">
        <f t="shared" si="192"/>
        <v>13.656346496815287</v>
      </c>
      <c r="AB197" s="83">
        <f t="shared" si="192"/>
        <v>111.81133694267517</v>
      </c>
      <c r="AC197" s="83">
        <f t="shared" si="192"/>
        <v>0</v>
      </c>
      <c r="AD197" s="83">
        <f t="shared" si="192"/>
        <v>0</v>
      </c>
      <c r="AE197" s="83" t="e">
        <f t="shared" ref="AE197" si="195">AE185+AE193</f>
        <v>#DIV/0!</v>
      </c>
      <c r="AF197" s="83">
        <f t="shared" si="192"/>
        <v>0</v>
      </c>
      <c r="AG197" s="83">
        <f t="shared" si="192"/>
        <v>107.93588726114649</v>
      </c>
      <c r="AH197" s="83">
        <f t="shared" si="192"/>
        <v>47.935621656050955</v>
      </c>
      <c r="AI197" s="83">
        <f t="shared" si="192"/>
        <v>0</v>
      </c>
      <c r="AJ197" s="83">
        <f t="shared" si="192"/>
        <v>0</v>
      </c>
      <c r="AK197" s="83">
        <f t="shared" si="192"/>
        <v>0</v>
      </c>
      <c r="AL197" s="83">
        <f t="shared" si="192"/>
        <v>0</v>
      </c>
      <c r="AM197" s="83">
        <f t="shared" si="192"/>
        <v>0</v>
      </c>
      <c r="AN197" s="83">
        <f t="shared" si="192"/>
        <v>0</v>
      </c>
      <c r="AO197" s="83">
        <f t="shared" si="192"/>
        <v>0</v>
      </c>
      <c r="AP197" s="83">
        <f t="shared" si="192"/>
        <v>0</v>
      </c>
      <c r="AQ197" s="83">
        <f t="shared" si="192"/>
        <v>3.4140866242038217</v>
      </c>
      <c r="AR197" s="83">
        <f t="shared" si="192"/>
        <v>0</v>
      </c>
      <c r="AS197" s="83">
        <f t="shared" si="192"/>
        <v>0</v>
      </c>
      <c r="AT197" s="83">
        <f t="shared" si="192"/>
        <v>0</v>
      </c>
      <c r="AU197" s="83">
        <f t="shared" si="192"/>
        <v>0</v>
      </c>
      <c r="AV197" s="83">
        <f t="shared" si="192"/>
        <v>0</v>
      </c>
      <c r="AW197" s="83">
        <f t="shared" si="192"/>
        <v>6.5052191082802544</v>
      </c>
      <c r="AX197" s="83">
        <f t="shared" si="192"/>
        <v>9.7578286624203834</v>
      </c>
      <c r="AY197" s="83">
        <f t="shared" si="192"/>
        <v>0</v>
      </c>
      <c r="AZ197" s="83">
        <f t="shared" si="192"/>
        <v>0</v>
      </c>
      <c r="BA197" s="83">
        <f t="shared" si="192"/>
        <v>0</v>
      </c>
      <c r="BB197" s="83">
        <f t="shared" si="192"/>
        <v>0</v>
      </c>
      <c r="BC197" s="83">
        <f t="shared" si="192"/>
        <v>0</v>
      </c>
      <c r="BD197" s="83">
        <f t="shared" si="192"/>
        <v>0</v>
      </c>
      <c r="BE197" s="83">
        <f t="shared" si="192"/>
        <v>0</v>
      </c>
      <c r="BF197" s="83">
        <f t="shared" si="192"/>
        <v>0</v>
      </c>
      <c r="BG197" s="83">
        <f t="shared" si="192"/>
        <v>18.062363694267514</v>
      </c>
      <c r="BH197" s="83">
        <f t="shared" si="192"/>
        <v>0</v>
      </c>
      <c r="BI197" s="83">
        <f t="shared" si="192"/>
        <v>0</v>
      </c>
      <c r="BJ197" s="83">
        <f t="shared" si="192"/>
        <v>0</v>
      </c>
      <c r="BK197" s="83">
        <f t="shared" si="192"/>
        <v>0</v>
      </c>
      <c r="BL197" s="83">
        <f t="shared" si="192"/>
        <v>0</v>
      </c>
      <c r="BM197" s="83">
        <f t="shared" si="192"/>
        <v>0</v>
      </c>
      <c r="BN197" s="83">
        <f t="shared" si="192"/>
        <v>0</v>
      </c>
      <c r="BO197" s="83">
        <f t="shared" si="192"/>
        <v>0</v>
      </c>
      <c r="BP197" s="83">
        <f t="shared" si="192"/>
        <v>0</v>
      </c>
      <c r="BQ197" s="83">
        <f t="shared" si="194"/>
        <v>0</v>
      </c>
      <c r="BR197" s="83">
        <f t="shared" si="194"/>
        <v>0</v>
      </c>
      <c r="BS197" s="83">
        <f t="shared" si="194"/>
        <v>0</v>
      </c>
      <c r="BT197" s="83">
        <f t="shared" si="194"/>
        <v>0</v>
      </c>
      <c r="BU197" s="83">
        <f t="shared" si="194"/>
        <v>0</v>
      </c>
      <c r="BV197" s="83">
        <f t="shared" si="194"/>
        <v>0</v>
      </c>
      <c r="BW197" s="83">
        <f t="shared" si="194"/>
        <v>0</v>
      </c>
      <c r="BX197" s="83">
        <f t="shared" si="194"/>
        <v>0</v>
      </c>
      <c r="BY197" s="83">
        <f t="shared" si="194"/>
        <v>0</v>
      </c>
      <c r="BZ197" s="83">
        <f t="shared" si="194"/>
        <v>0</v>
      </c>
      <c r="CA197" s="83" t="e">
        <f t="shared" ref="CA197:CA198" si="196">SUM(C197:BZ197)</f>
        <v>#DIV/0!</v>
      </c>
    </row>
    <row r="198" spans="1:81">
      <c r="A198" t="s">
        <v>142</v>
      </c>
      <c r="C198" s="83">
        <f>C186+C194</f>
        <v>8178.5098334175555</v>
      </c>
      <c r="D198" s="83">
        <f t="shared" si="192"/>
        <v>4423.032965919102</v>
      </c>
      <c r="E198" s="83">
        <f t="shared" si="192"/>
        <v>268.22912277030309</v>
      </c>
      <c r="F198" s="83">
        <f t="shared" si="192"/>
        <v>495.45792474253665</v>
      </c>
      <c r="G198" s="83">
        <f t="shared" si="192"/>
        <v>0</v>
      </c>
      <c r="H198" s="83">
        <f t="shared" si="192"/>
        <v>14039.738953720584</v>
      </c>
      <c r="I198" s="83">
        <f t="shared" si="192"/>
        <v>1891.5995925310688</v>
      </c>
      <c r="J198" s="83">
        <f t="shared" si="192"/>
        <v>3548.0529250802115</v>
      </c>
      <c r="K198" s="83">
        <f t="shared" si="192"/>
        <v>915.3747770299866</v>
      </c>
      <c r="L198" s="83">
        <f t="shared" si="192"/>
        <v>13.322861353420858</v>
      </c>
      <c r="M198" s="83">
        <f t="shared" si="192"/>
        <v>464.32639013218619</v>
      </c>
      <c r="N198" s="83">
        <f t="shared" si="192"/>
        <v>959.33573368437203</v>
      </c>
      <c r="O198" s="83">
        <f t="shared" si="192"/>
        <v>19.087129649429546</v>
      </c>
      <c r="P198" s="83">
        <f t="shared" si="192"/>
        <v>1.3681726305701554</v>
      </c>
      <c r="Q198" s="83">
        <f t="shared" si="192"/>
        <v>1.8840409994736564</v>
      </c>
      <c r="R198" s="83">
        <f t="shared" si="192"/>
        <v>1.8840409994736564</v>
      </c>
      <c r="S198" s="83">
        <f t="shared" si="192"/>
        <v>1.7046085233333084</v>
      </c>
      <c r="T198" s="83">
        <f t="shared" si="192"/>
        <v>0</v>
      </c>
      <c r="U198" s="83">
        <f t="shared" si="192"/>
        <v>384.97237755911715</v>
      </c>
      <c r="V198" s="83">
        <f t="shared" si="192"/>
        <v>0</v>
      </c>
      <c r="W198" s="83">
        <f t="shared" si="192"/>
        <v>0</v>
      </c>
      <c r="X198" s="83">
        <f t="shared" si="192"/>
        <v>922.48478889704791</v>
      </c>
      <c r="Y198" s="83">
        <f t="shared" si="192"/>
        <v>0</v>
      </c>
      <c r="Z198" s="83">
        <f t="shared" si="192"/>
        <v>28.888628658596069</v>
      </c>
      <c r="AA198" s="83">
        <f t="shared" si="192"/>
        <v>133.54262036745419</v>
      </c>
      <c r="AB198" s="83">
        <f t="shared" si="192"/>
        <v>1679.3309732570369</v>
      </c>
      <c r="AC198" s="83">
        <f t="shared" si="192"/>
        <v>0</v>
      </c>
      <c r="AD198" s="83">
        <f t="shared" si="192"/>
        <v>0</v>
      </c>
      <c r="AE198" s="83" t="e">
        <f t="shared" ref="AE198" si="197">AE186+AE194</f>
        <v>#DIV/0!</v>
      </c>
      <c r="AF198" s="83">
        <f t="shared" si="192"/>
        <v>0</v>
      </c>
      <c r="AG198" s="83">
        <f t="shared" si="192"/>
        <v>1844.0275572943588</v>
      </c>
      <c r="AH198" s="83">
        <f t="shared" si="192"/>
        <v>1550.7900331619949</v>
      </c>
      <c r="AI198" s="83">
        <f t="shared" si="192"/>
        <v>0</v>
      </c>
      <c r="AJ198" s="83">
        <f t="shared" si="192"/>
        <v>0</v>
      </c>
      <c r="AK198" s="83">
        <f t="shared" si="192"/>
        <v>0</v>
      </c>
      <c r="AL198" s="83">
        <f t="shared" si="192"/>
        <v>0</v>
      </c>
      <c r="AM198" s="83">
        <f t="shared" si="192"/>
        <v>0</v>
      </c>
      <c r="AN198" s="83">
        <f t="shared" si="192"/>
        <v>0</v>
      </c>
      <c r="AO198" s="83">
        <f t="shared" si="192"/>
        <v>0</v>
      </c>
      <c r="AP198" s="83">
        <f t="shared" si="192"/>
        <v>0</v>
      </c>
      <c r="AQ198" s="83">
        <f t="shared" si="192"/>
        <v>5.2035418080700984</v>
      </c>
      <c r="AR198" s="83">
        <f t="shared" si="192"/>
        <v>0</v>
      </c>
      <c r="AS198" s="83">
        <f t="shared" si="192"/>
        <v>0</v>
      </c>
      <c r="AT198" s="83">
        <f t="shared" si="192"/>
        <v>0</v>
      </c>
      <c r="AU198" s="83">
        <f t="shared" si="192"/>
        <v>0</v>
      </c>
      <c r="AV198" s="83">
        <f t="shared" si="192"/>
        <v>0</v>
      </c>
      <c r="AW198" s="83">
        <f t="shared" si="192"/>
        <v>9.9136443067542412</v>
      </c>
      <c r="AX198" s="83">
        <f t="shared" si="192"/>
        <v>37.411671275262606</v>
      </c>
      <c r="AY198" s="83">
        <f t="shared" si="192"/>
        <v>0</v>
      </c>
      <c r="AZ198" s="83">
        <f t="shared" si="192"/>
        <v>0</v>
      </c>
      <c r="BA198" s="83">
        <f t="shared" si="192"/>
        <v>0</v>
      </c>
      <c r="BB198" s="83">
        <f t="shared" si="192"/>
        <v>0</v>
      </c>
      <c r="BC198" s="83">
        <f t="shared" si="192"/>
        <v>0</v>
      </c>
      <c r="BD198" s="83">
        <f t="shared" si="192"/>
        <v>0</v>
      </c>
      <c r="BE198" s="83">
        <f t="shared" si="192"/>
        <v>0</v>
      </c>
      <c r="BF198" s="83">
        <f t="shared" si="192"/>
        <v>0</v>
      </c>
      <c r="BG198" s="83">
        <f t="shared" si="192"/>
        <v>26.466290230701368</v>
      </c>
      <c r="BH198" s="83">
        <f t="shared" si="192"/>
        <v>0</v>
      </c>
      <c r="BI198" s="83">
        <f t="shared" si="192"/>
        <v>0</v>
      </c>
      <c r="BJ198" s="83">
        <f t="shared" si="192"/>
        <v>0</v>
      </c>
      <c r="BK198" s="83">
        <f t="shared" si="192"/>
        <v>0</v>
      </c>
      <c r="BL198" s="83">
        <f t="shared" si="192"/>
        <v>0</v>
      </c>
      <c r="BM198" s="83">
        <f t="shared" si="192"/>
        <v>0</v>
      </c>
      <c r="BN198" s="83">
        <f t="shared" si="192"/>
        <v>0</v>
      </c>
      <c r="BO198" s="83">
        <f t="shared" si="192"/>
        <v>0</v>
      </c>
      <c r="BP198" s="83">
        <f t="shared" si="192"/>
        <v>0</v>
      </c>
      <c r="BQ198" s="83">
        <f t="shared" si="194"/>
        <v>0</v>
      </c>
      <c r="BR198" s="83">
        <f t="shared" si="194"/>
        <v>0</v>
      </c>
      <c r="BS198" s="83">
        <f t="shared" si="194"/>
        <v>0</v>
      </c>
      <c r="BT198" s="83">
        <f t="shared" si="194"/>
        <v>0</v>
      </c>
      <c r="BU198" s="83">
        <f t="shared" si="194"/>
        <v>0</v>
      </c>
      <c r="BV198" s="83">
        <f t="shared" si="194"/>
        <v>0</v>
      </c>
      <c r="BW198" s="83">
        <f t="shared" si="194"/>
        <v>0</v>
      </c>
      <c r="BX198" s="83">
        <f t="shared" si="194"/>
        <v>0</v>
      </c>
      <c r="BY198" s="83">
        <f t="shared" si="194"/>
        <v>0</v>
      </c>
      <c r="BZ198" s="83">
        <f t="shared" si="194"/>
        <v>0</v>
      </c>
      <c r="CA198" s="83" t="e">
        <f t="shared" si="196"/>
        <v>#DIV/0!</v>
      </c>
    </row>
    <row r="200" spans="1:81">
      <c r="A200" t="s">
        <v>156</v>
      </c>
      <c r="C200">
        <v>111.87860000000001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 s="109">
        <v>111.87860000000001</v>
      </c>
      <c r="CB200">
        <v>0</v>
      </c>
      <c r="CC200">
        <f>CA200+CB200</f>
        <v>111.87860000000001</v>
      </c>
    </row>
    <row r="201" spans="1:81">
      <c r="A201" t="s">
        <v>157</v>
      </c>
      <c r="C201">
        <v>2892.6314000000002</v>
      </c>
      <c r="D201">
        <v>46.741400000000006</v>
      </c>
      <c r="E201">
        <v>445.43379999999996</v>
      </c>
      <c r="F201">
        <v>0</v>
      </c>
      <c r="G201">
        <v>833.72320000000013</v>
      </c>
      <c r="H201">
        <v>0</v>
      </c>
      <c r="I201">
        <v>1679.0442</v>
      </c>
      <c r="J201">
        <v>289.24459999999999</v>
      </c>
      <c r="K201">
        <v>0</v>
      </c>
      <c r="L201">
        <v>0</v>
      </c>
      <c r="M201">
        <v>0</v>
      </c>
      <c r="N201">
        <v>62.500399999999999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58.71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38.501400000000004</v>
      </c>
      <c r="AG201">
        <v>7592.1918000000005</v>
      </c>
      <c r="AH201">
        <v>4423.335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73.377200000000002</v>
      </c>
      <c r="AS201">
        <v>0</v>
      </c>
      <c r="AT201">
        <v>0</v>
      </c>
      <c r="AU201">
        <v>0</v>
      </c>
      <c r="AV201">
        <v>0</v>
      </c>
      <c r="AW201">
        <v>452.0052</v>
      </c>
      <c r="AX201">
        <v>171.4332</v>
      </c>
      <c r="AY201">
        <v>0</v>
      </c>
      <c r="AZ201">
        <v>0</v>
      </c>
      <c r="BA201">
        <v>0</v>
      </c>
      <c r="BB201">
        <v>3673.8864000000003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 s="109">
        <v>22732.759199999997</v>
      </c>
      <c r="CB201">
        <v>1466.22</v>
      </c>
      <c r="CC201">
        <f t="shared" ref="CC201:CC202" si="198">CA201+CB201</f>
        <v>24198.979199999998</v>
      </c>
    </row>
    <row r="202" spans="1:81">
      <c r="A202" t="s">
        <v>158</v>
      </c>
      <c r="C202">
        <v>6469.7390000000005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352.26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152.19280000000001</v>
      </c>
      <c r="AH202">
        <v>512.81640000000004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240.196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 s="109">
        <v>7727.2042000000001</v>
      </c>
      <c r="CB202">
        <v>0</v>
      </c>
      <c r="CC202">
        <f t="shared" si="198"/>
        <v>7727.2042000000001</v>
      </c>
    </row>
    <row r="204" spans="1:81">
      <c r="A204" t="s">
        <v>156</v>
      </c>
      <c r="C204" s="77">
        <f t="shared" ref="C204:AD204" si="199">C200/$CA$200</f>
        <v>1</v>
      </c>
      <c r="D204" s="77">
        <f t="shared" si="199"/>
        <v>0</v>
      </c>
      <c r="E204" s="77">
        <f t="shared" si="199"/>
        <v>0</v>
      </c>
      <c r="F204" s="77">
        <f t="shared" si="199"/>
        <v>0</v>
      </c>
      <c r="G204" s="77">
        <f t="shared" si="199"/>
        <v>0</v>
      </c>
      <c r="H204" s="77">
        <f t="shared" si="199"/>
        <v>0</v>
      </c>
      <c r="I204" s="77">
        <f t="shared" si="199"/>
        <v>0</v>
      </c>
      <c r="J204" s="77">
        <f t="shared" si="199"/>
        <v>0</v>
      </c>
      <c r="K204" s="77">
        <f t="shared" si="199"/>
        <v>0</v>
      </c>
      <c r="L204" s="77">
        <f t="shared" si="199"/>
        <v>0</v>
      </c>
      <c r="M204" s="77">
        <f t="shared" si="199"/>
        <v>0</v>
      </c>
      <c r="N204" s="77">
        <f t="shared" si="199"/>
        <v>0</v>
      </c>
      <c r="O204" s="77">
        <f t="shared" si="199"/>
        <v>0</v>
      </c>
      <c r="P204" s="77">
        <f t="shared" si="199"/>
        <v>0</v>
      </c>
      <c r="Q204" s="77">
        <f t="shared" si="199"/>
        <v>0</v>
      </c>
      <c r="R204" s="77">
        <f t="shared" si="199"/>
        <v>0</v>
      </c>
      <c r="S204" s="77">
        <f t="shared" si="199"/>
        <v>0</v>
      </c>
      <c r="T204" s="77">
        <f t="shared" si="199"/>
        <v>0</v>
      </c>
      <c r="U204" s="77">
        <f t="shared" si="199"/>
        <v>0</v>
      </c>
      <c r="V204" s="77">
        <f t="shared" si="199"/>
        <v>0</v>
      </c>
      <c r="W204" s="77">
        <f t="shared" si="199"/>
        <v>0</v>
      </c>
      <c r="X204" s="77">
        <f t="shared" si="199"/>
        <v>0</v>
      </c>
      <c r="Y204" s="77">
        <f t="shared" si="199"/>
        <v>0</v>
      </c>
      <c r="Z204" s="77">
        <f t="shared" si="199"/>
        <v>0</v>
      </c>
      <c r="AA204" s="77">
        <f t="shared" si="199"/>
        <v>0</v>
      </c>
      <c r="AB204" s="77">
        <f t="shared" si="199"/>
        <v>0</v>
      </c>
      <c r="AC204" s="77">
        <f t="shared" si="199"/>
        <v>0</v>
      </c>
      <c r="AD204" s="77">
        <f t="shared" si="199"/>
        <v>0</v>
      </c>
      <c r="AE204" s="77" t="e">
        <f>AE200/$BI$200</f>
        <v>#DIV/0!</v>
      </c>
      <c r="AF204" s="77">
        <f t="shared" ref="AF204:BP204" si="200">AF200/$CA$200</f>
        <v>0</v>
      </c>
      <c r="AG204" s="77">
        <f t="shared" si="200"/>
        <v>0</v>
      </c>
      <c r="AH204" s="77">
        <f t="shared" si="200"/>
        <v>0</v>
      </c>
      <c r="AI204" s="77">
        <f t="shared" si="200"/>
        <v>0</v>
      </c>
      <c r="AJ204" s="77">
        <f t="shared" si="200"/>
        <v>0</v>
      </c>
      <c r="AK204" s="77">
        <f t="shared" si="200"/>
        <v>0</v>
      </c>
      <c r="AL204" s="77">
        <f t="shared" si="200"/>
        <v>0</v>
      </c>
      <c r="AM204" s="77">
        <f t="shared" si="200"/>
        <v>0</v>
      </c>
      <c r="AN204" s="77">
        <f t="shared" si="200"/>
        <v>0</v>
      </c>
      <c r="AO204" s="77">
        <f t="shared" si="200"/>
        <v>0</v>
      </c>
      <c r="AP204" s="77">
        <f t="shared" si="200"/>
        <v>0</v>
      </c>
      <c r="AQ204" s="77">
        <f t="shared" si="200"/>
        <v>0</v>
      </c>
      <c r="AR204" s="77">
        <f t="shared" si="200"/>
        <v>0</v>
      </c>
      <c r="AS204" s="77">
        <f t="shared" si="200"/>
        <v>0</v>
      </c>
      <c r="AT204" s="77">
        <f t="shared" si="200"/>
        <v>0</v>
      </c>
      <c r="AU204" s="77">
        <f t="shared" si="200"/>
        <v>0</v>
      </c>
      <c r="AV204" s="77">
        <f t="shared" si="200"/>
        <v>0</v>
      </c>
      <c r="AW204" s="77">
        <f t="shared" si="200"/>
        <v>0</v>
      </c>
      <c r="AX204" s="77">
        <f t="shared" si="200"/>
        <v>0</v>
      </c>
      <c r="AY204" s="77">
        <f t="shared" si="200"/>
        <v>0</v>
      </c>
      <c r="AZ204" s="77">
        <f t="shared" si="200"/>
        <v>0</v>
      </c>
      <c r="BA204" s="77">
        <f t="shared" si="200"/>
        <v>0</v>
      </c>
      <c r="BB204" s="77">
        <f t="shared" si="200"/>
        <v>0</v>
      </c>
      <c r="BC204" s="77">
        <f t="shared" si="200"/>
        <v>0</v>
      </c>
      <c r="BD204" s="77">
        <f t="shared" si="200"/>
        <v>0</v>
      </c>
      <c r="BE204" s="77">
        <f t="shared" si="200"/>
        <v>0</v>
      </c>
      <c r="BF204" s="77">
        <f t="shared" si="200"/>
        <v>0</v>
      </c>
      <c r="BG204" s="77">
        <f t="shared" si="200"/>
        <v>0</v>
      </c>
      <c r="BH204" s="77">
        <f t="shared" si="200"/>
        <v>0</v>
      </c>
      <c r="BI204" s="77">
        <f t="shared" si="200"/>
        <v>0</v>
      </c>
      <c r="BJ204" s="77">
        <f t="shared" si="200"/>
        <v>0</v>
      </c>
      <c r="BK204" s="77">
        <f t="shared" si="200"/>
        <v>0</v>
      </c>
      <c r="BL204" s="77">
        <f t="shared" si="200"/>
        <v>0</v>
      </c>
      <c r="BM204" s="77">
        <f t="shared" si="200"/>
        <v>0</v>
      </c>
      <c r="BN204" s="77">
        <f t="shared" si="200"/>
        <v>0</v>
      </c>
      <c r="BO204" s="77">
        <f t="shared" si="200"/>
        <v>0</v>
      </c>
      <c r="BP204" s="77">
        <f t="shared" si="200"/>
        <v>0</v>
      </c>
      <c r="BQ204" s="77">
        <f t="shared" ref="BQ204:BZ204" si="201">BQ200/$CA$200</f>
        <v>0</v>
      </c>
      <c r="BR204" s="77">
        <f t="shared" si="201"/>
        <v>0</v>
      </c>
      <c r="BS204" s="77">
        <f t="shared" si="201"/>
        <v>0</v>
      </c>
      <c r="BT204" s="77">
        <f t="shared" si="201"/>
        <v>0</v>
      </c>
      <c r="BU204" s="77">
        <f t="shared" si="201"/>
        <v>0</v>
      </c>
      <c r="BV204" s="77">
        <f t="shared" si="201"/>
        <v>0</v>
      </c>
      <c r="BW204" s="77">
        <f t="shared" si="201"/>
        <v>0</v>
      </c>
      <c r="BX204" s="77">
        <f t="shared" si="201"/>
        <v>0</v>
      </c>
      <c r="BY204" s="77">
        <f t="shared" si="201"/>
        <v>0</v>
      </c>
      <c r="BZ204" s="77">
        <f t="shared" si="201"/>
        <v>0</v>
      </c>
      <c r="CA204" s="77" t="e">
        <f>SUM(C204:BZ204)</f>
        <v>#DIV/0!</v>
      </c>
    </row>
    <row r="205" spans="1:81">
      <c r="A205" t="s">
        <v>157</v>
      </c>
      <c r="C205" s="77">
        <f t="shared" ref="C205:AD205" si="202">C201/$CA$201</f>
        <v>0.12724506403076669</v>
      </c>
      <c r="D205" s="77">
        <f t="shared" si="202"/>
        <v>2.056125241497302E-3</v>
      </c>
      <c r="E205" s="77">
        <f t="shared" si="202"/>
        <v>1.9594357028160491E-2</v>
      </c>
      <c r="F205" s="77">
        <f t="shared" si="202"/>
        <v>0</v>
      </c>
      <c r="G205" s="77">
        <f t="shared" si="202"/>
        <v>3.6674967286857124E-2</v>
      </c>
      <c r="H205" s="77">
        <f t="shared" si="202"/>
        <v>0</v>
      </c>
      <c r="I205" s="77">
        <f t="shared" si="202"/>
        <v>7.3860114613803693E-2</v>
      </c>
      <c r="J205" s="77">
        <f t="shared" si="202"/>
        <v>1.272369083995752E-2</v>
      </c>
      <c r="K205" s="77">
        <f t="shared" si="202"/>
        <v>0</v>
      </c>
      <c r="L205" s="77">
        <f t="shared" si="202"/>
        <v>0</v>
      </c>
      <c r="M205" s="77">
        <f t="shared" si="202"/>
        <v>0</v>
      </c>
      <c r="N205" s="77">
        <f t="shared" si="202"/>
        <v>2.749353892773386E-3</v>
      </c>
      <c r="O205" s="77">
        <f t="shared" si="202"/>
        <v>0</v>
      </c>
      <c r="P205" s="77">
        <f t="shared" si="202"/>
        <v>0</v>
      </c>
      <c r="Q205" s="77">
        <f t="shared" si="202"/>
        <v>0</v>
      </c>
      <c r="R205" s="77">
        <f t="shared" si="202"/>
        <v>0</v>
      </c>
      <c r="S205" s="77">
        <f t="shared" si="202"/>
        <v>0</v>
      </c>
      <c r="T205" s="77">
        <f t="shared" si="202"/>
        <v>0</v>
      </c>
      <c r="U205" s="77">
        <f t="shared" si="202"/>
        <v>0</v>
      </c>
      <c r="V205" s="77">
        <f t="shared" si="202"/>
        <v>0</v>
      </c>
      <c r="W205" s="77">
        <f t="shared" si="202"/>
        <v>0</v>
      </c>
      <c r="X205" s="77">
        <f t="shared" si="202"/>
        <v>0</v>
      </c>
      <c r="Y205" s="77">
        <f t="shared" si="202"/>
        <v>0</v>
      </c>
      <c r="Z205" s="77">
        <f t="shared" si="202"/>
        <v>2.5826165439697267E-3</v>
      </c>
      <c r="AA205" s="77">
        <f t="shared" si="202"/>
        <v>0</v>
      </c>
      <c r="AB205" s="77">
        <f t="shared" si="202"/>
        <v>0</v>
      </c>
      <c r="AC205" s="77">
        <f t="shared" si="202"/>
        <v>0</v>
      </c>
      <c r="AD205" s="77">
        <f t="shared" si="202"/>
        <v>0</v>
      </c>
      <c r="AE205" s="77" t="e">
        <f>AE201/$BI$201</f>
        <v>#DIV/0!</v>
      </c>
      <c r="AF205" s="77">
        <f t="shared" ref="AF205:BP205" si="203">AF201/$CA$201</f>
        <v>1.693652744098042E-3</v>
      </c>
      <c r="AG205" s="77">
        <f t="shared" si="203"/>
        <v>0.3339758158349736</v>
      </c>
      <c r="AH205" s="77">
        <f t="shared" si="203"/>
        <v>0.19457976751014019</v>
      </c>
      <c r="AI205" s="77">
        <f t="shared" si="203"/>
        <v>0</v>
      </c>
      <c r="AJ205" s="77">
        <f t="shared" si="203"/>
        <v>0</v>
      </c>
      <c r="AK205" s="77">
        <f t="shared" si="203"/>
        <v>0</v>
      </c>
      <c r="AL205" s="77">
        <f t="shared" si="203"/>
        <v>0</v>
      </c>
      <c r="AM205" s="77">
        <f t="shared" si="203"/>
        <v>0</v>
      </c>
      <c r="AN205" s="77">
        <f t="shared" si="203"/>
        <v>0</v>
      </c>
      <c r="AO205" s="77">
        <f t="shared" si="203"/>
        <v>0</v>
      </c>
      <c r="AP205" s="77">
        <f t="shared" si="203"/>
        <v>0</v>
      </c>
      <c r="AQ205" s="77">
        <f t="shared" si="203"/>
        <v>0</v>
      </c>
      <c r="AR205" s="77">
        <f t="shared" si="203"/>
        <v>3.2278175893404094E-3</v>
      </c>
      <c r="AS205" s="77">
        <f t="shared" si="203"/>
        <v>0</v>
      </c>
      <c r="AT205" s="77">
        <f t="shared" si="203"/>
        <v>0</v>
      </c>
      <c r="AU205" s="77">
        <f t="shared" si="203"/>
        <v>0</v>
      </c>
      <c r="AV205" s="77">
        <f t="shared" si="203"/>
        <v>0</v>
      </c>
      <c r="AW205" s="77">
        <f t="shared" si="203"/>
        <v>1.98834288448364E-2</v>
      </c>
      <c r="AX205" s="77">
        <f t="shared" si="203"/>
        <v>7.5412403083916016E-3</v>
      </c>
      <c r="AY205" s="77">
        <f t="shared" si="203"/>
        <v>0</v>
      </c>
      <c r="AZ205" s="77">
        <f t="shared" si="203"/>
        <v>0</v>
      </c>
      <c r="BA205" s="77">
        <f t="shared" si="203"/>
        <v>0</v>
      </c>
      <c r="BB205" s="77">
        <f t="shared" si="203"/>
        <v>0.16161198769043403</v>
      </c>
      <c r="BC205" s="77">
        <f t="shared" si="203"/>
        <v>0</v>
      </c>
      <c r="BD205" s="77">
        <f t="shared" si="203"/>
        <v>0</v>
      </c>
      <c r="BE205" s="77">
        <f t="shared" si="203"/>
        <v>0</v>
      </c>
      <c r="BF205" s="77">
        <f t="shared" si="203"/>
        <v>0</v>
      </c>
      <c r="BG205" s="77">
        <f t="shared" si="203"/>
        <v>0</v>
      </c>
      <c r="BH205" s="77">
        <f t="shared" si="203"/>
        <v>0</v>
      </c>
      <c r="BI205" s="77">
        <f t="shared" si="203"/>
        <v>0</v>
      </c>
      <c r="BJ205" s="77">
        <f t="shared" si="203"/>
        <v>0</v>
      </c>
      <c r="BK205" s="77">
        <f t="shared" si="203"/>
        <v>0</v>
      </c>
      <c r="BL205" s="77">
        <f t="shared" si="203"/>
        <v>0</v>
      </c>
      <c r="BM205" s="77">
        <f t="shared" si="203"/>
        <v>0</v>
      </c>
      <c r="BN205" s="77">
        <f t="shared" si="203"/>
        <v>0</v>
      </c>
      <c r="BO205" s="77">
        <f t="shared" si="203"/>
        <v>0</v>
      </c>
      <c r="BP205" s="77">
        <f t="shared" si="203"/>
        <v>0</v>
      </c>
      <c r="BQ205" s="77">
        <f t="shared" ref="BQ205:BZ205" si="204">BQ201/$CA$201</f>
        <v>0</v>
      </c>
      <c r="BR205" s="77">
        <f t="shared" si="204"/>
        <v>0</v>
      </c>
      <c r="BS205" s="77">
        <f t="shared" si="204"/>
        <v>0</v>
      </c>
      <c r="BT205" s="77">
        <f t="shared" si="204"/>
        <v>0</v>
      </c>
      <c r="BU205" s="77">
        <f t="shared" si="204"/>
        <v>0</v>
      </c>
      <c r="BV205" s="77">
        <f t="shared" si="204"/>
        <v>0</v>
      </c>
      <c r="BW205" s="77">
        <f t="shared" si="204"/>
        <v>0</v>
      </c>
      <c r="BX205" s="77">
        <f t="shared" si="204"/>
        <v>0</v>
      </c>
      <c r="BY205" s="77">
        <f t="shared" si="204"/>
        <v>0</v>
      </c>
      <c r="BZ205" s="77">
        <f t="shared" si="204"/>
        <v>0</v>
      </c>
      <c r="CA205" s="77" t="e">
        <f t="shared" ref="CA205:CA206" si="205">SUM(C205:BZ205)</f>
        <v>#DIV/0!</v>
      </c>
    </row>
    <row r="206" spans="1:81">
      <c r="A206" t="s">
        <v>158</v>
      </c>
      <c r="C206" s="77">
        <f t="shared" ref="C206:AD206" si="206">C202/$CA$202</f>
        <v>0.83726776626402599</v>
      </c>
      <c r="D206" s="77">
        <f t="shared" si="206"/>
        <v>0</v>
      </c>
      <c r="E206" s="77">
        <f t="shared" si="206"/>
        <v>0</v>
      </c>
      <c r="F206" s="77">
        <f t="shared" si="206"/>
        <v>0</v>
      </c>
      <c r="G206" s="77">
        <f t="shared" si="206"/>
        <v>0</v>
      </c>
      <c r="H206" s="77">
        <f t="shared" si="206"/>
        <v>0</v>
      </c>
      <c r="I206" s="77">
        <f t="shared" si="206"/>
        <v>0</v>
      </c>
      <c r="J206" s="77">
        <f t="shared" si="206"/>
        <v>0</v>
      </c>
      <c r="K206" s="77">
        <f t="shared" si="206"/>
        <v>4.5586992511470061E-2</v>
      </c>
      <c r="L206" s="77">
        <f t="shared" si="206"/>
        <v>0</v>
      </c>
      <c r="M206" s="77">
        <f t="shared" si="206"/>
        <v>0</v>
      </c>
      <c r="N206" s="77">
        <f t="shared" si="206"/>
        <v>0</v>
      </c>
      <c r="O206" s="77">
        <f t="shared" si="206"/>
        <v>0</v>
      </c>
      <c r="P206" s="77">
        <f t="shared" si="206"/>
        <v>0</v>
      </c>
      <c r="Q206" s="77">
        <f t="shared" si="206"/>
        <v>0</v>
      </c>
      <c r="R206" s="77">
        <f t="shared" si="206"/>
        <v>0</v>
      </c>
      <c r="S206" s="77">
        <f t="shared" si="206"/>
        <v>0</v>
      </c>
      <c r="T206" s="77">
        <f t="shared" si="206"/>
        <v>0</v>
      </c>
      <c r="U206" s="77">
        <f t="shared" si="206"/>
        <v>0</v>
      </c>
      <c r="V206" s="77">
        <f t="shared" si="206"/>
        <v>0</v>
      </c>
      <c r="W206" s="77">
        <f t="shared" si="206"/>
        <v>0</v>
      </c>
      <c r="X206" s="77">
        <f t="shared" si="206"/>
        <v>0</v>
      </c>
      <c r="Y206" s="77">
        <f t="shared" si="206"/>
        <v>0</v>
      </c>
      <c r="Z206" s="77">
        <f t="shared" si="206"/>
        <v>0</v>
      </c>
      <c r="AA206" s="77">
        <f t="shared" si="206"/>
        <v>0</v>
      </c>
      <c r="AB206" s="77">
        <f t="shared" si="206"/>
        <v>0</v>
      </c>
      <c r="AC206" s="77">
        <f t="shared" si="206"/>
        <v>0</v>
      </c>
      <c r="AD206" s="77">
        <f t="shared" si="206"/>
        <v>0</v>
      </c>
      <c r="AE206" s="77" t="e">
        <f>AE202/$BI$202</f>
        <v>#DIV/0!</v>
      </c>
      <c r="AF206" s="77">
        <f t="shared" ref="AF206:BP206" si="207">AF202/$CA$202</f>
        <v>0</v>
      </c>
      <c r="AG206" s="77">
        <f t="shared" si="207"/>
        <v>1.9695713489750924E-2</v>
      </c>
      <c r="AH206" s="77">
        <f t="shared" si="207"/>
        <v>6.6365063835119045E-2</v>
      </c>
      <c r="AI206" s="77">
        <f t="shared" si="207"/>
        <v>0</v>
      </c>
      <c r="AJ206" s="77">
        <f t="shared" si="207"/>
        <v>0</v>
      </c>
      <c r="AK206" s="77">
        <f t="shared" si="207"/>
        <v>0</v>
      </c>
      <c r="AL206" s="77">
        <f t="shared" si="207"/>
        <v>0</v>
      </c>
      <c r="AM206" s="77">
        <f t="shared" si="207"/>
        <v>0</v>
      </c>
      <c r="AN206" s="77">
        <f t="shared" si="207"/>
        <v>0</v>
      </c>
      <c r="AO206" s="77">
        <f t="shared" si="207"/>
        <v>0</v>
      </c>
      <c r="AP206" s="77">
        <f t="shared" si="207"/>
        <v>0</v>
      </c>
      <c r="AQ206" s="77">
        <f t="shared" si="207"/>
        <v>0</v>
      </c>
      <c r="AR206" s="77">
        <f t="shared" si="207"/>
        <v>0</v>
      </c>
      <c r="AS206" s="77">
        <f t="shared" si="207"/>
        <v>0</v>
      </c>
      <c r="AT206" s="77">
        <f t="shared" si="207"/>
        <v>0</v>
      </c>
      <c r="AU206" s="77">
        <f t="shared" si="207"/>
        <v>0</v>
      </c>
      <c r="AV206" s="77">
        <f t="shared" si="207"/>
        <v>0</v>
      </c>
      <c r="AW206" s="77">
        <f t="shared" si="207"/>
        <v>0</v>
      </c>
      <c r="AX206" s="77">
        <f t="shared" si="207"/>
        <v>0</v>
      </c>
      <c r="AY206" s="77">
        <f t="shared" si="207"/>
        <v>0</v>
      </c>
      <c r="AZ206" s="77">
        <f t="shared" si="207"/>
        <v>0</v>
      </c>
      <c r="BA206" s="77">
        <f t="shared" si="207"/>
        <v>0</v>
      </c>
      <c r="BB206" s="77">
        <f t="shared" si="207"/>
        <v>3.1084463899633971E-2</v>
      </c>
      <c r="BC206" s="77">
        <f t="shared" si="207"/>
        <v>0</v>
      </c>
      <c r="BD206" s="77">
        <f t="shared" si="207"/>
        <v>0</v>
      </c>
      <c r="BE206" s="77">
        <f t="shared" si="207"/>
        <v>0</v>
      </c>
      <c r="BF206" s="77">
        <f t="shared" si="207"/>
        <v>0</v>
      </c>
      <c r="BG206" s="77">
        <f t="shared" si="207"/>
        <v>0</v>
      </c>
      <c r="BH206" s="77">
        <f t="shared" si="207"/>
        <v>0</v>
      </c>
      <c r="BI206" s="77">
        <f t="shared" si="207"/>
        <v>0</v>
      </c>
      <c r="BJ206" s="77">
        <f t="shared" si="207"/>
        <v>0</v>
      </c>
      <c r="BK206" s="77">
        <f t="shared" si="207"/>
        <v>0</v>
      </c>
      <c r="BL206" s="77">
        <f t="shared" si="207"/>
        <v>0</v>
      </c>
      <c r="BM206" s="77">
        <f t="shared" si="207"/>
        <v>0</v>
      </c>
      <c r="BN206" s="77">
        <f t="shared" si="207"/>
        <v>0</v>
      </c>
      <c r="BO206" s="77">
        <f t="shared" si="207"/>
        <v>0</v>
      </c>
      <c r="BP206" s="77">
        <f t="shared" si="207"/>
        <v>0</v>
      </c>
      <c r="BQ206" s="77">
        <f t="shared" ref="BQ206:BZ206" si="208">BQ202/$CA$202</f>
        <v>0</v>
      </c>
      <c r="BR206" s="77">
        <f t="shared" si="208"/>
        <v>0</v>
      </c>
      <c r="BS206" s="77">
        <f t="shared" si="208"/>
        <v>0</v>
      </c>
      <c r="BT206" s="77">
        <f t="shared" si="208"/>
        <v>0</v>
      </c>
      <c r="BU206" s="77">
        <f t="shared" si="208"/>
        <v>0</v>
      </c>
      <c r="BV206" s="77">
        <f t="shared" si="208"/>
        <v>0</v>
      </c>
      <c r="BW206" s="77">
        <f t="shared" si="208"/>
        <v>0</v>
      </c>
      <c r="BX206" s="77">
        <f t="shared" si="208"/>
        <v>0</v>
      </c>
      <c r="BY206" s="77">
        <f t="shared" si="208"/>
        <v>0</v>
      </c>
      <c r="BZ206" s="77">
        <f t="shared" si="208"/>
        <v>0</v>
      </c>
      <c r="CA206" s="77" t="e">
        <f t="shared" si="205"/>
        <v>#DIV/0!</v>
      </c>
    </row>
    <row r="208" spans="1:81">
      <c r="A208" t="s">
        <v>156</v>
      </c>
      <c r="C208">
        <f t="shared" ref="C208:AD208" si="209">$CB$200*C204</f>
        <v>0</v>
      </c>
      <c r="D208">
        <f t="shared" si="209"/>
        <v>0</v>
      </c>
      <c r="E208">
        <f t="shared" si="209"/>
        <v>0</v>
      </c>
      <c r="F208">
        <f t="shared" si="209"/>
        <v>0</v>
      </c>
      <c r="G208">
        <f t="shared" si="209"/>
        <v>0</v>
      </c>
      <c r="H208">
        <f t="shared" si="209"/>
        <v>0</v>
      </c>
      <c r="I208">
        <f t="shared" si="209"/>
        <v>0</v>
      </c>
      <c r="J208">
        <f t="shared" si="209"/>
        <v>0</v>
      </c>
      <c r="K208">
        <f t="shared" si="209"/>
        <v>0</v>
      </c>
      <c r="L208">
        <f t="shared" si="209"/>
        <v>0</v>
      </c>
      <c r="M208">
        <f t="shared" si="209"/>
        <v>0</v>
      </c>
      <c r="N208">
        <f t="shared" si="209"/>
        <v>0</v>
      </c>
      <c r="O208">
        <f t="shared" si="209"/>
        <v>0</v>
      </c>
      <c r="P208">
        <f t="shared" si="209"/>
        <v>0</v>
      </c>
      <c r="Q208">
        <f t="shared" si="209"/>
        <v>0</v>
      </c>
      <c r="R208">
        <f t="shared" si="209"/>
        <v>0</v>
      </c>
      <c r="S208">
        <f t="shared" si="209"/>
        <v>0</v>
      </c>
      <c r="T208">
        <f t="shared" si="209"/>
        <v>0</v>
      </c>
      <c r="U208">
        <f t="shared" si="209"/>
        <v>0</v>
      </c>
      <c r="V208">
        <f t="shared" si="209"/>
        <v>0</v>
      </c>
      <c r="W208">
        <f t="shared" si="209"/>
        <v>0</v>
      </c>
      <c r="X208">
        <f t="shared" si="209"/>
        <v>0</v>
      </c>
      <c r="Y208">
        <f t="shared" si="209"/>
        <v>0</v>
      </c>
      <c r="Z208">
        <f t="shared" si="209"/>
        <v>0</v>
      </c>
      <c r="AA208">
        <f t="shared" si="209"/>
        <v>0</v>
      </c>
      <c r="AB208">
        <f t="shared" si="209"/>
        <v>0</v>
      </c>
      <c r="AC208">
        <f t="shared" si="209"/>
        <v>0</v>
      </c>
      <c r="AD208">
        <f t="shared" si="209"/>
        <v>0</v>
      </c>
      <c r="AE208" s="83" t="e">
        <f>$BJ$200*AE204</f>
        <v>#DIV/0!</v>
      </c>
      <c r="AF208">
        <f t="shared" ref="AF208:BP208" si="210">$CB$200*AF204</f>
        <v>0</v>
      </c>
      <c r="AG208">
        <f t="shared" si="210"/>
        <v>0</v>
      </c>
      <c r="AH208">
        <f t="shared" si="210"/>
        <v>0</v>
      </c>
      <c r="AI208">
        <f t="shared" si="210"/>
        <v>0</v>
      </c>
      <c r="AJ208">
        <f t="shared" si="210"/>
        <v>0</v>
      </c>
      <c r="AK208">
        <f t="shared" si="210"/>
        <v>0</v>
      </c>
      <c r="AL208">
        <f t="shared" si="210"/>
        <v>0</v>
      </c>
      <c r="AM208">
        <f t="shared" si="210"/>
        <v>0</v>
      </c>
      <c r="AN208">
        <f t="shared" si="210"/>
        <v>0</v>
      </c>
      <c r="AO208">
        <f t="shared" si="210"/>
        <v>0</v>
      </c>
      <c r="AP208">
        <f t="shared" si="210"/>
        <v>0</v>
      </c>
      <c r="AQ208">
        <f t="shared" si="210"/>
        <v>0</v>
      </c>
      <c r="AR208">
        <f t="shared" si="210"/>
        <v>0</v>
      </c>
      <c r="AS208">
        <f t="shared" si="210"/>
        <v>0</v>
      </c>
      <c r="AT208">
        <f t="shared" si="210"/>
        <v>0</v>
      </c>
      <c r="AU208">
        <f t="shared" si="210"/>
        <v>0</v>
      </c>
      <c r="AV208">
        <f t="shared" si="210"/>
        <v>0</v>
      </c>
      <c r="AW208">
        <f t="shared" si="210"/>
        <v>0</v>
      </c>
      <c r="AX208">
        <f t="shared" si="210"/>
        <v>0</v>
      </c>
      <c r="AY208">
        <f t="shared" si="210"/>
        <v>0</v>
      </c>
      <c r="AZ208">
        <f t="shared" si="210"/>
        <v>0</v>
      </c>
      <c r="BA208">
        <f t="shared" si="210"/>
        <v>0</v>
      </c>
      <c r="BB208">
        <f t="shared" si="210"/>
        <v>0</v>
      </c>
      <c r="BC208">
        <f t="shared" si="210"/>
        <v>0</v>
      </c>
      <c r="BD208">
        <f t="shared" si="210"/>
        <v>0</v>
      </c>
      <c r="BE208">
        <f t="shared" si="210"/>
        <v>0</v>
      </c>
      <c r="BF208">
        <f t="shared" si="210"/>
        <v>0</v>
      </c>
      <c r="BG208">
        <f t="shared" si="210"/>
        <v>0</v>
      </c>
      <c r="BH208">
        <f t="shared" si="210"/>
        <v>0</v>
      </c>
      <c r="BI208">
        <f t="shared" si="210"/>
        <v>0</v>
      </c>
      <c r="BJ208">
        <f t="shared" si="210"/>
        <v>0</v>
      </c>
      <c r="BK208">
        <f t="shared" si="210"/>
        <v>0</v>
      </c>
      <c r="BL208">
        <f t="shared" si="210"/>
        <v>0</v>
      </c>
      <c r="BM208">
        <f t="shared" si="210"/>
        <v>0</v>
      </c>
      <c r="BN208">
        <f t="shared" si="210"/>
        <v>0</v>
      </c>
      <c r="BO208">
        <f t="shared" si="210"/>
        <v>0</v>
      </c>
      <c r="BP208">
        <f t="shared" si="210"/>
        <v>0</v>
      </c>
      <c r="BQ208">
        <f t="shared" ref="BQ208:BZ208" si="211">$CB$200*BQ204</f>
        <v>0</v>
      </c>
      <c r="BR208">
        <f t="shared" si="211"/>
        <v>0</v>
      </c>
      <c r="BS208">
        <f t="shared" si="211"/>
        <v>0</v>
      </c>
      <c r="BT208">
        <f t="shared" si="211"/>
        <v>0</v>
      </c>
      <c r="BU208">
        <f t="shared" si="211"/>
        <v>0</v>
      </c>
      <c r="BV208">
        <f t="shared" si="211"/>
        <v>0</v>
      </c>
      <c r="BW208">
        <f t="shared" si="211"/>
        <v>0</v>
      </c>
      <c r="BX208">
        <f t="shared" si="211"/>
        <v>0</v>
      </c>
      <c r="BY208">
        <f t="shared" si="211"/>
        <v>0</v>
      </c>
      <c r="BZ208">
        <f t="shared" si="211"/>
        <v>0</v>
      </c>
      <c r="CA208" t="e">
        <f>SUM(C208:BZ208)</f>
        <v>#DIV/0!</v>
      </c>
    </row>
    <row r="209" spans="1:81">
      <c r="A209" t="s">
        <v>157</v>
      </c>
      <c r="C209">
        <f t="shared" ref="C209:AD209" si="212">$CB$201*C205</f>
        <v>186.56925778319072</v>
      </c>
      <c r="D209">
        <f t="shared" si="212"/>
        <v>3.0147319515881743</v>
      </c>
      <c r="E209">
        <f t="shared" si="212"/>
        <v>28.729638161829477</v>
      </c>
      <c r="F209">
        <f t="shared" si="212"/>
        <v>0</v>
      </c>
      <c r="G209">
        <f t="shared" si="212"/>
        <v>53.773570535335651</v>
      </c>
      <c r="H209">
        <f t="shared" si="212"/>
        <v>0</v>
      </c>
      <c r="I209">
        <f t="shared" si="212"/>
        <v>108.29517724905125</v>
      </c>
      <c r="J209">
        <f t="shared" si="212"/>
        <v>18.655729983362516</v>
      </c>
      <c r="K209">
        <f t="shared" si="212"/>
        <v>0</v>
      </c>
      <c r="L209">
        <f t="shared" si="212"/>
        <v>0</v>
      </c>
      <c r="M209">
        <f t="shared" si="212"/>
        <v>0</v>
      </c>
      <c r="N209">
        <f t="shared" si="212"/>
        <v>4.0311576646621941</v>
      </c>
      <c r="O209">
        <f t="shared" si="212"/>
        <v>0</v>
      </c>
      <c r="P209">
        <f t="shared" si="212"/>
        <v>0</v>
      </c>
      <c r="Q209">
        <f t="shared" si="212"/>
        <v>0</v>
      </c>
      <c r="R209">
        <f t="shared" si="212"/>
        <v>0</v>
      </c>
      <c r="S209">
        <f t="shared" si="212"/>
        <v>0</v>
      </c>
      <c r="T209">
        <f t="shared" si="212"/>
        <v>0</v>
      </c>
      <c r="U209">
        <f t="shared" si="212"/>
        <v>0</v>
      </c>
      <c r="V209">
        <f t="shared" si="212"/>
        <v>0</v>
      </c>
      <c r="W209">
        <f t="shared" si="212"/>
        <v>0</v>
      </c>
      <c r="X209">
        <f t="shared" si="212"/>
        <v>0</v>
      </c>
      <c r="Y209">
        <f t="shared" si="212"/>
        <v>0</v>
      </c>
      <c r="Z209">
        <f t="shared" si="212"/>
        <v>3.7866840290992929</v>
      </c>
      <c r="AA209">
        <f t="shared" si="212"/>
        <v>0</v>
      </c>
      <c r="AB209">
        <f t="shared" si="212"/>
        <v>0</v>
      </c>
      <c r="AC209">
        <f t="shared" si="212"/>
        <v>0</v>
      </c>
      <c r="AD209">
        <f t="shared" si="212"/>
        <v>0</v>
      </c>
      <c r="AE209" s="83" t="e">
        <f>$BJ$201*AE205</f>
        <v>#DIV/0!</v>
      </c>
      <c r="AF209">
        <f t="shared" ref="AF209:BP209" si="213">$CB$201*AF205</f>
        <v>2.483267526451431</v>
      </c>
      <c r="AG209">
        <f t="shared" si="213"/>
        <v>489.68202069355499</v>
      </c>
      <c r="AH209">
        <f t="shared" si="213"/>
        <v>285.29674671871777</v>
      </c>
      <c r="AI209">
        <f t="shared" si="213"/>
        <v>0</v>
      </c>
      <c r="AJ209">
        <f t="shared" si="213"/>
        <v>0</v>
      </c>
      <c r="AK209">
        <f t="shared" si="213"/>
        <v>0</v>
      </c>
      <c r="AL209">
        <f t="shared" si="213"/>
        <v>0</v>
      </c>
      <c r="AM209">
        <f t="shared" si="213"/>
        <v>0</v>
      </c>
      <c r="AN209">
        <f t="shared" si="213"/>
        <v>0</v>
      </c>
      <c r="AO209">
        <f t="shared" si="213"/>
        <v>0</v>
      </c>
      <c r="AP209">
        <f t="shared" si="213"/>
        <v>0</v>
      </c>
      <c r="AQ209">
        <f t="shared" si="213"/>
        <v>0</v>
      </c>
      <c r="AR209">
        <f t="shared" si="213"/>
        <v>4.7326907058426952</v>
      </c>
      <c r="AS209">
        <f t="shared" si="213"/>
        <v>0</v>
      </c>
      <c r="AT209">
        <f t="shared" si="213"/>
        <v>0</v>
      </c>
      <c r="AU209">
        <f t="shared" si="213"/>
        <v>0</v>
      </c>
      <c r="AV209">
        <f t="shared" si="213"/>
        <v>0</v>
      </c>
      <c r="AW209">
        <f t="shared" si="213"/>
        <v>29.153481040876027</v>
      </c>
      <c r="AX209">
        <f t="shared" si="213"/>
        <v>11.057117364969935</v>
      </c>
      <c r="AY209">
        <f t="shared" si="213"/>
        <v>0</v>
      </c>
      <c r="AZ209">
        <f t="shared" si="213"/>
        <v>0</v>
      </c>
      <c r="BA209">
        <f t="shared" si="213"/>
        <v>0</v>
      </c>
      <c r="BB209">
        <f t="shared" si="213"/>
        <v>236.95872859146817</v>
      </c>
      <c r="BC209">
        <f t="shared" si="213"/>
        <v>0</v>
      </c>
      <c r="BD209">
        <f t="shared" si="213"/>
        <v>0</v>
      </c>
      <c r="BE209">
        <f t="shared" si="213"/>
        <v>0</v>
      </c>
      <c r="BF209">
        <f t="shared" si="213"/>
        <v>0</v>
      </c>
      <c r="BG209">
        <f t="shared" si="213"/>
        <v>0</v>
      </c>
      <c r="BH209">
        <f t="shared" si="213"/>
        <v>0</v>
      </c>
      <c r="BI209">
        <f t="shared" si="213"/>
        <v>0</v>
      </c>
      <c r="BJ209">
        <f t="shared" si="213"/>
        <v>0</v>
      </c>
      <c r="BK209">
        <f t="shared" si="213"/>
        <v>0</v>
      </c>
      <c r="BL209">
        <f t="shared" si="213"/>
        <v>0</v>
      </c>
      <c r="BM209">
        <f t="shared" si="213"/>
        <v>0</v>
      </c>
      <c r="BN209">
        <f t="shared" si="213"/>
        <v>0</v>
      </c>
      <c r="BO209">
        <f t="shared" si="213"/>
        <v>0</v>
      </c>
      <c r="BP209">
        <f t="shared" si="213"/>
        <v>0</v>
      </c>
      <c r="BQ209">
        <f t="shared" ref="BQ209:BZ209" si="214">$CB$201*BQ205</f>
        <v>0</v>
      </c>
      <c r="BR209">
        <f t="shared" si="214"/>
        <v>0</v>
      </c>
      <c r="BS209">
        <f t="shared" si="214"/>
        <v>0</v>
      </c>
      <c r="BT209">
        <f t="shared" si="214"/>
        <v>0</v>
      </c>
      <c r="BU209">
        <f t="shared" si="214"/>
        <v>0</v>
      </c>
      <c r="BV209">
        <f t="shared" si="214"/>
        <v>0</v>
      </c>
      <c r="BW209">
        <f t="shared" si="214"/>
        <v>0</v>
      </c>
      <c r="BX209">
        <f t="shared" si="214"/>
        <v>0</v>
      </c>
      <c r="BY209">
        <f t="shared" si="214"/>
        <v>0</v>
      </c>
      <c r="BZ209">
        <f t="shared" si="214"/>
        <v>0</v>
      </c>
      <c r="CA209" t="e">
        <f t="shared" ref="CA209:CA263" si="215">SUM(C209:BZ209)</f>
        <v>#DIV/0!</v>
      </c>
    </row>
    <row r="210" spans="1:81">
      <c r="A210" t="s">
        <v>158</v>
      </c>
      <c r="C210">
        <f t="shared" ref="C210:AD210" si="216">$CB$202*C206</f>
        <v>0</v>
      </c>
      <c r="D210">
        <f t="shared" si="216"/>
        <v>0</v>
      </c>
      <c r="E210">
        <f t="shared" si="216"/>
        <v>0</v>
      </c>
      <c r="F210">
        <f t="shared" si="216"/>
        <v>0</v>
      </c>
      <c r="G210">
        <f t="shared" si="216"/>
        <v>0</v>
      </c>
      <c r="H210">
        <f t="shared" si="216"/>
        <v>0</v>
      </c>
      <c r="I210">
        <f t="shared" si="216"/>
        <v>0</v>
      </c>
      <c r="J210">
        <f t="shared" si="216"/>
        <v>0</v>
      </c>
      <c r="K210">
        <f t="shared" si="216"/>
        <v>0</v>
      </c>
      <c r="L210">
        <f t="shared" si="216"/>
        <v>0</v>
      </c>
      <c r="M210">
        <f t="shared" si="216"/>
        <v>0</v>
      </c>
      <c r="N210">
        <f t="shared" si="216"/>
        <v>0</v>
      </c>
      <c r="O210">
        <f t="shared" si="216"/>
        <v>0</v>
      </c>
      <c r="P210">
        <f t="shared" si="216"/>
        <v>0</v>
      </c>
      <c r="Q210">
        <f t="shared" si="216"/>
        <v>0</v>
      </c>
      <c r="R210">
        <f t="shared" si="216"/>
        <v>0</v>
      </c>
      <c r="S210">
        <f t="shared" si="216"/>
        <v>0</v>
      </c>
      <c r="T210">
        <f t="shared" si="216"/>
        <v>0</v>
      </c>
      <c r="U210">
        <f t="shared" si="216"/>
        <v>0</v>
      </c>
      <c r="V210">
        <f t="shared" si="216"/>
        <v>0</v>
      </c>
      <c r="W210">
        <f t="shared" si="216"/>
        <v>0</v>
      </c>
      <c r="X210">
        <f t="shared" si="216"/>
        <v>0</v>
      </c>
      <c r="Y210">
        <f t="shared" si="216"/>
        <v>0</v>
      </c>
      <c r="Z210">
        <f t="shared" si="216"/>
        <v>0</v>
      </c>
      <c r="AA210">
        <f t="shared" si="216"/>
        <v>0</v>
      </c>
      <c r="AB210">
        <f t="shared" si="216"/>
        <v>0</v>
      </c>
      <c r="AC210">
        <f t="shared" si="216"/>
        <v>0</v>
      </c>
      <c r="AD210">
        <f t="shared" si="216"/>
        <v>0</v>
      </c>
      <c r="AE210" s="83" t="e">
        <f>$BJ$202*AE206</f>
        <v>#DIV/0!</v>
      </c>
      <c r="AF210">
        <f t="shared" ref="AF210:BP210" si="217">$CB$202*AF206</f>
        <v>0</v>
      </c>
      <c r="AG210">
        <f t="shared" si="217"/>
        <v>0</v>
      </c>
      <c r="AH210">
        <f t="shared" si="217"/>
        <v>0</v>
      </c>
      <c r="AI210">
        <f t="shared" si="217"/>
        <v>0</v>
      </c>
      <c r="AJ210">
        <f t="shared" si="217"/>
        <v>0</v>
      </c>
      <c r="AK210">
        <f t="shared" si="217"/>
        <v>0</v>
      </c>
      <c r="AL210">
        <f t="shared" si="217"/>
        <v>0</v>
      </c>
      <c r="AM210">
        <f t="shared" si="217"/>
        <v>0</v>
      </c>
      <c r="AN210">
        <f t="shared" si="217"/>
        <v>0</v>
      </c>
      <c r="AO210">
        <f t="shared" si="217"/>
        <v>0</v>
      </c>
      <c r="AP210">
        <f t="shared" si="217"/>
        <v>0</v>
      </c>
      <c r="AQ210">
        <f t="shared" si="217"/>
        <v>0</v>
      </c>
      <c r="AR210">
        <f t="shared" si="217"/>
        <v>0</v>
      </c>
      <c r="AS210">
        <f t="shared" si="217"/>
        <v>0</v>
      </c>
      <c r="AT210">
        <f t="shared" si="217"/>
        <v>0</v>
      </c>
      <c r="AU210">
        <f t="shared" si="217"/>
        <v>0</v>
      </c>
      <c r="AV210">
        <f t="shared" si="217"/>
        <v>0</v>
      </c>
      <c r="AW210">
        <f t="shared" si="217"/>
        <v>0</v>
      </c>
      <c r="AX210">
        <f t="shared" si="217"/>
        <v>0</v>
      </c>
      <c r="AY210">
        <f t="shared" si="217"/>
        <v>0</v>
      </c>
      <c r="AZ210">
        <f t="shared" si="217"/>
        <v>0</v>
      </c>
      <c r="BA210">
        <f t="shared" si="217"/>
        <v>0</v>
      </c>
      <c r="BB210">
        <f t="shared" si="217"/>
        <v>0</v>
      </c>
      <c r="BC210">
        <f t="shared" si="217"/>
        <v>0</v>
      </c>
      <c r="BD210">
        <f t="shared" si="217"/>
        <v>0</v>
      </c>
      <c r="BE210">
        <f t="shared" si="217"/>
        <v>0</v>
      </c>
      <c r="BF210">
        <f t="shared" si="217"/>
        <v>0</v>
      </c>
      <c r="BG210">
        <f t="shared" si="217"/>
        <v>0</v>
      </c>
      <c r="BH210">
        <f t="shared" si="217"/>
        <v>0</v>
      </c>
      <c r="BI210">
        <f t="shared" si="217"/>
        <v>0</v>
      </c>
      <c r="BJ210">
        <f t="shared" si="217"/>
        <v>0</v>
      </c>
      <c r="BK210">
        <f t="shared" si="217"/>
        <v>0</v>
      </c>
      <c r="BL210">
        <f t="shared" si="217"/>
        <v>0</v>
      </c>
      <c r="BM210">
        <f t="shared" si="217"/>
        <v>0</v>
      </c>
      <c r="BN210">
        <f t="shared" si="217"/>
        <v>0</v>
      </c>
      <c r="BO210">
        <f t="shared" si="217"/>
        <v>0</v>
      </c>
      <c r="BP210">
        <f t="shared" si="217"/>
        <v>0</v>
      </c>
      <c r="BQ210">
        <f t="shared" ref="BQ210:BZ210" si="218">$CB$202*BQ206</f>
        <v>0</v>
      </c>
      <c r="BR210">
        <f t="shared" si="218"/>
        <v>0</v>
      </c>
      <c r="BS210">
        <f t="shared" si="218"/>
        <v>0</v>
      </c>
      <c r="BT210">
        <f t="shared" si="218"/>
        <v>0</v>
      </c>
      <c r="BU210">
        <f t="shared" si="218"/>
        <v>0</v>
      </c>
      <c r="BV210">
        <f t="shared" si="218"/>
        <v>0</v>
      </c>
      <c r="BW210">
        <f t="shared" si="218"/>
        <v>0</v>
      </c>
      <c r="BX210">
        <f t="shared" si="218"/>
        <v>0</v>
      </c>
      <c r="BY210">
        <f t="shared" si="218"/>
        <v>0</v>
      </c>
      <c r="BZ210">
        <f t="shared" si="218"/>
        <v>0</v>
      </c>
      <c r="CA210" t="e">
        <f t="shared" si="215"/>
        <v>#DIV/0!</v>
      </c>
    </row>
    <row r="211" spans="1:81">
      <c r="AE211" s="83"/>
    </row>
    <row r="212" spans="1:81">
      <c r="A212" t="s">
        <v>156</v>
      </c>
      <c r="C212" s="83">
        <f>C200+C208</f>
        <v>111.87860000000001</v>
      </c>
      <c r="D212" s="83">
        <f t="shared" ref="D212:BP214" si="219">D200+D208</f>
        <v>0</v>
      </c>
      <c r="E212" s="83">
        <f t="shared" si="219"/>
        <v>0</v>
      </c>
      <c r="F212" s="83">
        <f t="shared" si="219"/>
        <v>0</v>
      </c>
      <c r="G212" s="83">
        <f t="shared" si="219"/>
        <v>0</v>
      </c>
      <c r="H212" s="83">
        <f t="shared" si="219"/>
        <v>0</v>
      </c>
      <c r="I212" s="83">
        <f t="shared" si="219"/>
        <v>0</v>
      </c>
      <c r="J212" s="83">
        <f t="shared" si="219"/>
        <v>0</v>
      </c>
      <c r="K212" s="83">
        <f t="shared" si="219"/>
        <v>0</v>
      </c>
      <c r="L212" s="83">
        <f t="shared" si="219"/>
        <v>0</v>
      </c>
      <c r="M212" s="83">
        <f t="shared" si="219"/>
        <v>0</v>
      </c>
      <c r="N212" s="83">
        <f t="shared" si="219"/>
        <v>0</v>
      </c>
      <c r="O212" s="83">
        <f t="shared" si="219"/>
        <v>0</v>
      </c>
      <c r="P212" s="83">
        <f t="shared" si="219"/>
        <v>0</v>
      </c>
      <c r="Q212" s="83">
        <f t="shared" si="219"/>
        <v>0</v>
      </c>
      <c r="R212" s="83">
        <f t="shared" si="219"/>
        <v>0</v>
      </c>
      <c r="S212" s="83">
        <f t="shared" si="219"/>
        <v>0</v>
      </c>
      <c r="T212" s="83">
        <f t="shared" si="219"/>
        <v>0</v>
      </c>
      <c r="U212" s="83">
        <f t="shared" si="219"/>
        <v>0</v>
      </c>
      <c r="V212" s="83">
        <f t="shared" si="219"/>
        <v>0</v>
      </c>
      <c r="W212" s="83">
        <f t="shared" si="219"/>
        <v>0</v>
      </c>
      <c r="X212" s="83">
        <f t="shared" si="219"/>
        <v>0</v>
      </c>
      <c r="Y212" s="83">
        <f t="shared" si="219"/>
        <v>0</v>
      </c>
      <c r="Z212" s="83">
        <f t="shared" si="219"/>
        <v>0</v>
      </c>
      <c r="AA212" s="83">
        <f t="shared" si="219"/>
        <v>0</v>
      </c>
      <c r="AB212" s="83">
        <f t="shared" si="219"/>
        <v>0</v>
      </c>
      <c r="AC212" s="83">
        <f t="shared" si="219"/>
        <v>0</v>
      </c>
      <c r="AD212" s="83">
        <f t="shared" si="219"/>
        <v>0</v>
      </c>
      <c r="AE212" s="83" t="e">
        <f t="shared" ref="AE212" si="220">AE200+AE208</f>
        <v>#DIV/0!</v>
      </c>
      <c r="AF212" s="83">
        <f t="shared" si="219"/>
        <v>0</v>
      </c>
      <c r="AG212" s="83">
        <f t="shared" si="219"/>
        <v>0</v>
      </c>
      <c r="AH212" s="83">
        <f t="shared" si="219"/>
        <v>0</v>
      </c>
      <c r="AI212" s="83">
        <f t="shared" si="219"/>
        <v>0</v>
      </c>
      <c r="AJ212" s="83">
        <f t="shared" si="219"/>
        <v>0</v>
      </c>
      <c r="AK212" s="83">
        <f t="shared" si="219"/>
        <v>0</v>
      </c>
      <c r="AL212" s="83">
        <f t="shared" si="219"/>
        <v>0</v>
      </c>
      <c r="AM212" s="83">
        <f t="shared" si="219"/>
        <v>0</v>
      </c>
      <c r="AN212" s="83">
        <f t="shared" si="219"/>
        <v>0</v>
      </c>
      <c r="AO212" s="83">
        <f t="shared" si="219"/>
        <v>0</v>
      </c>
      <c r="AP212" s="83">
        <f t="shared" si="219"/>
        <v>0</v>
      </c>
      <c r="AQ212" s="83">
        <f t="shared" si="219"/>
        <v>0</v>
      </c>
      <c r="AR212" s="83">
        <f t="shared" si="219"/>
        <v>0</v>
      </c>
      <c r="AS212" s="83">
        <f t="shared" si="219"/>
        <v>0</v>
      </c>
      <c r="AT212" s="83">
        <f t="shared" si="219"/>
        <v>0</v>
      </c>
      <c r="AU212" s="83">
        <f t="shared" si="219"/>
        <v>0</v>
      </c>
      <c r="AV212" s="83">
        <f t="shared" si="219"/>
        <v>0</v>
      </c>
      <c r="AW212" s="83">
        <f t="shared" si="219"/>
        <v>0</v>
      </c>
      <c r="AX212" s="83">
        <f t="shared" si="219"/>
        <v>0</v>
      </c>
      <c r="AY212" s="83">
        <f t="shared" si="219"/>
        <v>0</v>
      </c>
      <c r="AZ212" s="83">
        <f t="shared" si="219"/>
        <v>0</v>
      </c>
      <c r="BA212" s="83">
        <f t="shared" si="219"/>
        <v>0</v>
      </c>
      <c r="BB212" s="83">
        <f t="shared" si="219"/>
        <v>0</v>
      </c>
      <c r="BC212" s="83">
        <f t="shared" si="219"/>
        <v>0</v>
      </c>
      <c r="BD212" s="83">
        <f t="shared" si="219"/>
        <v>0</v>
      </c>
      <c r="BE212" s="83">
        <f t="shared" si="219"/>
        <v>0</v>
      </c>
      <c r="BF212" s="83">
        <f t="shared" si="219"/>
        <v>0</v>
      </c>
      <c r="BG212" s="83">
        <f t="shared" si="219"/>
        <v>0</v>
      </c>
      <c r="BH212" s="83">
        <f t="shared" si="219"/>
        <v>0</v>
      </c>
      <c r="BI212" s="83">
        <f t="shared" si="219"/>
        <v>0</v>
      </c>
      <c r="BJ212" s="83">
        <f t="shared" si="219"/>
        <v>0</v>
      </c>
      <c r="BK212" s="83">
        <f t="shared" si="219"/>
        <v>0</v>
      </c>
      <c r="BL212" s="83">
        <f t="shared" si="219"/>
        <v>0</v>
      </c>
      <c r="BM212" s="83">
        <f t="shared" si="219"/>
        <v>0</v>
      </c>
      <c r="BN212" s="83">
        <f t="shared" si="219"/>
        <v>0</v>
      </c>
      <c r="BO212" s="83">
        <f t="shared" si="219"/>
        <v>0</v>
      </c>
      <c r="BP212" s="83">
        <f t="shared" si="219"/>
        <v>0</v>
      </c>
      <c r="BQ212" s="83">
        <f t="shared" ref="BQ212:BZ214" si="221">BQ200+BQ208</f>
        <v>0</v>
      </c>
      <c r="BR212" s="83">
        <f t="shared" si="221"/>
        <v>0</v>
      </c>
      <c r="BS212" s="83">
        <f t="shared" si="221"/>
        <v>0</v>
      </c>
      <c r="BT212" s="83">
        <f t="shared" si="221"/>
        <v>0</v>
      </c>
      <c r="BU212" s="83">
        <f t="shared" si="221"/>
        <v>0</v>
      </c>
      <c r="BV212" s="83">
        <f t="shared" si="221"/>
        <v>0</v>
      </c>
      <c r="BW212" s="83">
        <f t="shared" si="221"/>
        <v>0</v>
      </c>
      <c r="BX212" s="83">
        <f t="shared" si="221"/>
        <v>0</v>
      </c>
      <c r="BY212" s="83">
        <f t="shared" si="221"/>
        <v>0</v>
      </c>
      <c r="BZ212" s="83">
        <f t="shared" si="221"/>
        <v>0</v>
      </c>
      <c r="CA212" s="83" t="e">
        <f t="shared" si="215"/>
        <v>#DIV/0!</v>
      </c>
    </row>
    <row r="213" spans="1:81">
      <c r="A213" t="s">
        <v>157</v>
      </c>
      <c r="C213" s="83">
        <f t="shared" ref="C213:R214" si="222">C201+C209</f>
        <v>3079.2006577831908</v>
      </c>
      <c r="D213" s="83">
        <f t="shared" si="222"/>
        <v>49.756131951588181</v>
      </c>
      <c r="E213" s="83">
        <f t="shared" si="222"/>
        <v>474.16343816182945</v>
      </c>
      <c r="F213" s="83">
        <f t="shared" si="222"/>
        <v>0</v>
      </c>
      <c r="G213" s="83">
        <f t="shared" si="222"/>
        <v>887.49677053533583</v>
      </c>
      <c r="H213" s="83">
        <f t="shared" si="222"/>
        <v>0</v>
      </c>
      <c r="I213" s="83">
        <f t="shared" si="222"/>
        <v>1787.3393772490513</v>
      </c>
      <c r="J213" s="83">
        <f t="shared" si="222"/>
        <v>307.9003299833625</v>
      </c>
      <c r="K213" s="83">
        <f t="shared" si="222"/>
        <v>0</v>
      </c>
      <c r="L213" s="83">
        <f t="shared" si="222"/>
        <v>0</v>
      </c>
      <c r="M213" s="83">
        <f t="shared" si="222"/>
        <v>0</v>
      </c>
      <c r="N213" s="83">
        <f t="shared" si="222"/>
        <v>66.531557664662188</v>
      </c>
      <c r="O213" s="83">
        <f t="shared" si="222"/>
        <v>0</v>
      </c>
      <c r="P213" s="83">
        <f t="shared" si="222"/>
        <v>0</v>
      </c>
      <c r="Q213" s="83">
        <f t="shared" si="222"/>
        <v>0</v>
      </c>
      <c r="R213" s="83">
        <f t="shared" si="222"/>
        <v>0</v>
      </c>
      <c r="S213" s="83">
        <f t="shared" si="219"/>
        <v>0</v>
      </c>
      <c r="T213" s="83">
        <f t="shared" si="219"/>
        <v>0</v>
      </c>
      <c r="U213" s="83">
        <f t="shared" si="219"/>
        <v>0</v>
      </c>
      <c r="V213" s="83">
        <f t="shared" si="219"/>
        <v>0</v>
      </c>
      <c r="W213" s="83">
        <f t="shared" si="219"/>
        <v>0</v>
      </c>
      <c r="X213" s="83">
        <f t="shared" si="219"/>
        <v>0</v>
      </c>
      <c r="Y213" s="83">
        <f t="shared" si="219"/>
        <v>0</v>
      </c>
      <c r="Z213" s="83">
        <f t="shared" si="219"/>
        <v>62.496684029099292</v>
      </c>
      <c r="AA213" s="83">
        <f t="shared" si="219"/>
        <v>0</v>
      </c>
      <c r="AB213" s="83">
        <f t="shared" si="219"/>
        <v>0</v>
      </c>
      <c r="AC213" s="83">
        <f t="shared" si="219"/>
        <v>0</v>
      </c>
      <c r="AD213" s="83">
        <f t="shared" si="219"/>
        <v>0</v>
      </c>
      <c r="AE213" s="83" t="e">
        <f t="shared" ref="AE213" si="223">AE201+AE209</f>
        <v>#DIV/0!</v>
      </c>
      <c r="AF213" s="83">
        <f t="shared" si="219"/>
        <v>40.984667526451432</v>
      </c>
      <c r="AG213" s="83">
        <f t="shared" si="219"/>
        <v>8081.8738206935559</v>
      </c>
      <c r="AH213" s="83">
        <f t="shared" si="219"/>
        <v>4708.6317467187182</v>
      </c>
      <c r="AI213" s="83">
        <f t="shared" si="219"/>
        <v>0</v>
      </c>
      <c r="AJ213" s="83">
        <f t="shared" si="219"/>
        <v>0</v>
      </c>
      <c r="AK213" s="83">
        <f t="shared" si="219"/>
        <v>0</v>
      </c>
      <c r="AL213" s="83">
        <f t="shared" si="219"/>
        <v>0</v>
      </c>
      <c r="AM213" s="83">
        <f t="shared" si="219"/>
        <v>0</v>
      </c>
      <c r="AN213" s="83">
        <f t="shared" si="219"/>
        <v>0</v>
      </c>
      <c r="AO213" s="83">
        <f t="shared" si="219"/>
        <v>0</v>
      </c>
      <c r="AP213" s="83">
        <f t="shared" si="219"/>
        <v>0</v>
      </c>
      <c r="AQ213" s="83">
        <f t="shared" si="219"/>
        <v>0</v>
      </c>
      <c r="AR213" s="83">
        <f t="shared" si="219"/>
        <v>78.109890705842702</v>
      </c>
      <c r="AS213" s="83">
        <f t="shared" si="219"/>
        <v>0</v>
      </c>
      <c r="AT213" s="83">
        <f t="shared" si="219"/>
        <v>0</v>
      </c>
      <c r="AU213" s="83">
        <f t="shared" si="219"/>
        <v>0</v>
      </c>
      <c r="AV213" s="83">
        <f t="shared" si="219"/>
        <v>0</v>
      </c>
      <c r="AW213" s="83">
        <f t="shared" si="219"/>
        <v>481.15868104087605</v>
      </c>
      <c r="AX213" s="83">
        <f t="shared" si="219"/>
        <v>182.49031736496994</v>
      </c>
      <c r="AY213" s="83">
        <f t="shared" si="219"/>
        <v>0</v>
      </c>
      <c r="AZ213" s="83">
        <f t="shared" si="219"/>
        <v>0</v>
      </c>
      <c r="BA213" s="83">
        <f t="shared" si="219"/>
        <v>0</v>
      </c>
      <c r="BB213" s="83">
        <f t="shared" si="219"/>
        <v>3910.8451285914684</v>
      </c>
      <c r="BC213" s="83">
        <f t="shared" si="219"/>
        <v>0</v>
      </c>
      <c r="BD213" s="83">
        <f t="shared" si="219"/>
        <v>0</v>
      </c>
      <c r="BE213" s="83">
        <f t="shared" si="219"/>
        <v>0</v>
      </c>
      <c r="BF213" s="83">
        <f t="shared" si="219"/>
        <v>0</v>
      </c>
      <c r="BG213" s="83">
        <f t="shared" si="219"/>
        <v>0</v>
      </c>
      <c r="BH213" s="83">
        <f t="shared" si="219"/>
        <v>0</v>
      </c>
      <c r="BI213" s="83">
        <f t="shared" si="219"/>
        <v>0</v>
      </c>
      <c r="BJ213" s="83">
        <f t="shared" si="219"/>
        <v>0</v>
      </c>
      <c r="BK213" s="83">
        <f t="shared" si="219"/>
        <v>0</v>
      </c>
      <c r="BL213" s="83">
        <f t="shared" si="219"/>
        <v>0</v>
      </c>
      <c r="BM213" s="83">
        <f t="shared" si="219"/>
        <v>0</v>
      </c>
      <c r="BN213" s="83">
        <f t="shared" si="219"/>
        <v>0</v>
      </c>
      <c r="BO213" s="83">
        <f t="shared" si="219"/>
        <v>0</v>
      </c>
      <c r="BP213" s="83">
        <f t="shared" si="219"/>
        <v>0</v>
      </c>
      <c r="BQ213" s="83">
        <f t="shared" si="221"/>
        <v>0</v>
      </c>
      <c r="BR213" s="83">
        <f t="shared" si="221"/>
        <v>0</v>
      </c>
      <c r="BS213" s="83">
        <f t="shared" si="221"/>
        <v>0</v>
      </c>
      <c r="BT213" s="83">
        <f t="shared" si="221"/>
        <v>0</v>
      </c>
      <c r="BU213" s="83">
        <f t="shared" si="221"/>
        <v>0</v>
      </c>
      <c r="BV213" s="83">
        <f t="shared" si="221"/>
        <v>0</v>
      </c>
      <c r="BW213" s="83">
        <f t="shared" si="221"/>
        <v>0</v>
      </c>
      <c r="BX213" s="83">
        <f t="shared" si="221"/>
        <v>0</v>
      </c>
      <c r="BY213" s="83">
        <f t="shared" si="221"/>
        <v>0</v>
      </c>
      <c r="BZ213" s="83">
        <f t="shared" si="221"/>
        <v>0</v>
      </c>
      <c r="CA213" s="83" t="e">
        <f t="shared" si="215"/>
        <v>#DIV/0!</v>
      </c>
    </row>
    <row r="214" spans="1:81">
      <c r="A214" t="s">
        <v>158</v>
      </c>
      <c r="C214" s="83">
        <f t="shared" si="222"/>
        <v>6469.7390000000005</v>
      </c>
      <c r="D214" s="83">
        <f t="shared" si="222"/>
        <v>0</v>
      </c>
      <c r="E214" s="83">
        <f t="shared" si="222"/>
        <v>0</v>
      </c>
      <c r="F214" s="83">
        <f t="shared" si="222"/>
        <v>0</v>
      </c>
      <c r="G214" s="83">
        <f t="shared" si="222"/>
        <v>0</v>
      </c>
      <c r="H214" s="83">
        <f t="shared" si="222"/>
        <v>0</v>
      </c>
      <c r="I214" s="83">
        <f t="shared" si="222"/>
        <v>0</v>
      </c>
      <c r="J214" s="83">
        <f t="shared" si="222"/>
        <v>0</v>
      </c>
      <c r="K214" s="83">
        <f t="shared" si="222"/>
        <v>352.26</v>
      </c>
      <c r="L214" s="83">
        <f t="shared" si="222"/>
        <v>0</v>
      </c>
      <c r="M214" s="83">
        <f t="shared" si="222"/>
        <v>0</v>
      </c>
      <c r="N214" s="83">
        <f t="shared" si="222"/>
        <v>0</v>
      </c>
      <c r="O214" s="83">
        <f t="shared" si="222"/>
        <v>0</v>
      </c>
      <c r="P214" s="83">
        <f t="shared" si="222"/>
        <v>0</v>
      </c>
      <c r="Q214" s="83">
        <f t="shared" si="222"/>
        <v>0</v>
      </c>
      <c r="R214" s="83">
        <f t="shared" si="222"/>
        <v>0</v>
      </c>
      <c r="S214" s="83">
        <f t="shared" si="219"/>
        <v>0</v>
      </c>
      <c r="T214" s="83">
        <f t="shared" si="219"/>
        <v>0</v>
      </c>
      <c r="U214" s="83">
        <f t="shared" si="219"/>
        <v>0</v>
      </c>
      <c r="V214" s="83">
        <f t="shared" si="219"/>
        <v>0</v>
      </c>
      <c r="W214" s="83">
        <f t="shared" si="219"/>
        <v>0</v>
      </c>
      <c r="X214" s="83">
        <f t="shared" si="219"/>
        <v>0</v>
      </c>
      <c r="Y214" s="83">
        <f t="shared" si="219"/>
        <v>0</v>
      </c>
      <c r="Z214" s="83">
        <f t="shared" si="219"/>
        <v>0</v>
      </c>
      <c r="AA214" s="83">
        <f t="shared" si="219"/>
        <v>0</v>
      </c>
      <c r="AB214" s="83">
        <f t="shared" si="219"/>
        <v>0</v>
      </c>
      <c r="AC214" s="83">
        <f t="shared" si="219"/>
        <v>0</v>
      </c>
      <c r="AD214" s="83">
        <f t="shared" si="219"/>
        <v>0</v>
      </c>
      <c r="AE214" s="83" t="e">
        <f t="shared" ref="AE214" si="224">AE202+AE210</f>
        <v>#DIV/0!</v>
      </c>
      <c r="AF214" s="83">
        <f t="shared" si="219"/>
        <v>0</v>
      </c>
      <c r="AG214" s="83">
        <f t="shared" si="219"/>
        <v>152.19280000000001</v>
      </c>
      <c r="AH214" s="83">
        <f t="shared" si="219"/>
        <v>512.81640000000004</v>
      </c>
      <c r="AI214" s="83">
        <f t="shared" si="219"/>
        <v>0</v>
      </c>
      <c r="AJ214" s="83">
        <f t="shared" si="219"/>
        <v>0</v>
      </c>
      <c r="AK214" s="83">
        <f t="shared" si="219"/>
        <v>0</v>
      </c>
      <c r="AL214" s="83">
        <f t="shared" si="219"/>
        <v>0</v>
      </c>
      <c r="AM214" s="83">
        <f t="shared" si="219"/>
        <v>0</v>
      </c>
      <c r="AN214" s="83">
        <f t="shared" si="219"/>
        <v>0</v>
      </c>
      <c r="AO214" s="83">
        <f t="shared" si="219"/>
        <v>0</v>
      </c>
      <c r="AP214" s="83">
        <f t="shared" si="219"/>
        <v>0</v>
      </c>
      <c r="AQ214" s="83">
        <f t="shared" si="219"/>
        <v>0</v>
      </c>
      <c r="AR214" s="83">
        <f t="shared" si="219"/>
        <v>0</v>
      </c>
      <c r="AS214" s="83">
        <f t="shared" si="219"/>
        <v>0</v>
      </c>
      <c r="AT214" s="83">
        <f t="shared" si="219"/>
        <v>0</v>
      </c>
      <c r="AU214" s="83">
        <f t="shared" si="219"/>
        <v>0</v>
      </c>
      <c r="AV214" s="83">
        <f t="shared" si="219"/>
        <v>0</v>
      </c>
      <c r="AW214" s="83">
        <f t="shared" si="219"/>
        <v>0</v>
      </c>
      <c r="AX214" s="83">
        <f t="shared" si="219"/>
        <v>0</v>
      </c>
      <c r="AY214" s="83">
        <f t="shared" si="219"/>
        <v>0</v>
      </c>
      <c r="AZ214" s="83">
        <f t="shared" si="219"/>
        <v>0</v>
      </c>
      <c r="BA214" s="83">
        <f t="shared" si="219"/>
        <v>0</v>
      </c>
      <c r="BB214" s="83">
        <f t="shared" si="219"/>
        <v>240.196</v>
      </c>
      <c r="BC214" s="83">
        <f t="shared" si="219"/>
        <v>0</v>
      </c>
      <c r="BD214" s="83">
        <f t="shared" si="219"/>
        <v>0</v>
      </c>
      <c r="BE214" s="83">
        <f t="shared" si="219"/>
        <v>0</v>
      </c>
      <c r="BF214" s="83">
        <f t="shared" si="219"/>
        <v>0</v>
      </c>
      <c r="BG214" s="83">
        <f t="shared" si="219"/>
        <v>0</v>
      </c>
      <c r="BH214" s="83">
        <f t="shared" si="219"/>
        <v>0</v>
      </c>
      <c r="BI214" s="83">
        <f t="shared" si="219"/>
        <v>0</v>
      </c>
      <c r="BJ214" s="83">
        <f t="shared" si="219"/>
        <v>0</v>
      </c>
      <c r="BK214" s="83">
        <f t="shared" si="219"/>
        <v>0</v>
      </c>
      <c r="BL214" s="83">
        <f t="shared" si="219"/>
        <v>0</v>
      </c>
      <c r="BM214" s="83">
        <f t="shared" si="219"/>
        <v>0</v>
      </c>
      <c r="BN214" s="83">
        <f t="shared" si="219"/>
        <v>0</v>
      </c>
      <c r="BO214" s="83">
        <f t="shared" si="219"/>
        <v>0</v>
      </c>
      <c r="BP214" s="83">
        <f t="shared" si="219"/>
        <v>0</v>
      </c>
      <c r="BQ214" s="83">
        <f t="shared" si="221"/>
        <v>0</v>
      </c>
      <c r="BR214" s="83">
        <f t="shared" si="221"/>
        <v>0</v>
      </c>
      <c r="BS214" s="83">
        <f t="shared" si="221"/>
        <v>0</v>
      </c>
      <c r="BT214" s="83">
        <f t="shared" si="221"/>
        <v>0</v>
      </c>
      <c r="BU214" s="83">
        <f t="shared" si="221"/>
        <v>0</v>
      </c>
      <c r="BV214" s="83">
        <f t="shared" si="221"/>
        <v>0</v>
      </c>
      <c r="BW214" s="83">
        <f t="shared" si="221"/>
        <v>0</v>
      </c>
      <c r="BX214" s="83">
        <f t="shared" si="221"/>
        <v>0</v>
      </c>
      <c r="BY214" s="83">
        <f t="shared" si="221"/>
        <v>0</v>
      </c>
      <c r="BZ214" s="83">
        <f t="shared" si="221"/>
        <v>0</v>
      </c>
      <c r="CA214" s="83" t="e">
        <f t="shared" si="215"/>
        <v>#DIV/0!</v>
      </c>
    </row>
    <row r="216" spans="1:81">
      <c r="A216" t="s">
        <v>164</v>
      </c>
      <c r="C216" s="83">
        <v>19909.302599999999</v>
      </c>
      <c r="D216" s="83">
        <v>1549.9646</v>
      </c>
      <c r="E216" s="83">
        <v>156.8896</v>
      </c>
      <c r="F216" s="83">
        <v>313.42900000000003</v>
      </c>
      <c r="G216" s="83">
        <v>26.986000000000001</v>
      </c>
      <c r="H216" s="83">
        <v>726.02639999999997</v>
      </c>
      <c r="I216" s="83">
        <v>667.62540000000001</v>
      </c>
      <c r="J216" s="83">
        <v>1900.8032000000001</v>
      </c>
      <c r="K216" s="83">
        <v>210.47020000000001</v>
      </c>
      <c r="L216" s="83">
        <v>78.568399999999997</v>
      </c>
      <c r="M216" s="83">
        <v>203.6516</v>
      </c>
      <c r="N216" s="83">
        <v>548.9076</v>
      </c>
      <c r="O216" s="83">
        <v>75.622600000000006</v>
      </c>
      <c r="P216" s="83">
        <v>0</v>
      </c>
      <c r="Q216" s="83">
        <v>0</v>
      </c>
      <c r="R216" s="83">
        <v>0</v>
      </c>
      <c r="S216" s="83">
        <v>4.5937999999999999</v>
      </c>
      <c r="T216" s="83">
        <v>0</v>
      </c>
      <c r="U216" s="83">
        <v>186.9862</v>
      </c>
      <c r="V216" s="83">
        <v>0</v>
      </c>
      <c r="W216" s="83">
        <v>0</v>
      </c>
      <c r="X216" s="83">
        <v>341.05360000000002</v>
      </c>
      <c r="Y216" s="83">
        <v>0</v>
      </c>
      <c r="Z216" s="83">
        <v>135.30080000000001</v>
      </c>
      <c r="AA216" s="83">
        <v>82.297000000000011</v>
      </c>
      <c r="AB216" s="83">
        <v>6206.5122000000001</v>
      </c>
      <c r="AC216" s="83">
        <v>0</v>
      </c>
      <c r="AD216" s="83">
        <v>0</v>
      </c>
      <c r="AE216" s="83">
        <v>0</v>
      </c>
      <c r="AF216" s="83">
        <v>0</v>
      </c>
      <c r="AG216" s="83">
        <v>4830.1437999999998</v>
      </c>
      <c r="AH216" s="83">
        <v>415.89339999999999</v>
      </c>
      <c r="AI216" s="83">
        <v>0</v>
      </c>
      <c r="AJ216" s="83">
        <v>0</v>
      </c>
      <c r="AK216" s="83">
        <v>0</v>
      </c>
      <c r="AL216" s="83">
        <v>0</v>
      </c>
      <c r="AM216" s="83">
        <v>0</v>
      </c>
      <c r="AN216" s="83">
        <v>0</v>
      </c>
      <c r="AO216" s="83">
        <v>0</v>
      </c>
      <c r="AP216" s="83">
        <v>0</v>
      </c>
      <c r="AQ216" s="83">
        <v>0</v>
      </c>
      <c r="AR216" s="83">
        <v>0</v>
      </c>
      <c r="AS216" s="83">
        <v>0</v>
      </c>
      <c r="AT216" s="83">
        <v>0</v>
      </c>
      <c r="AU216" s="83">
        <v>0</v>
      </c>
      <c r="AV216" s="83">
        <v>0</v>
      </c>
      <c r="AW216" s="83">
        <v>14.296400000000002</v>
      </c>
      <c r="AX216" s="83">
        <v>81.26700000000001</v>
      </c>
      <c r="AY216" s="83">
        <v>0</v>
      </c>
      <c r="AZ216" s="83">
        <v>0</v>
      </c>
      <c r="BA216" s="83">
        <v>0</v>
      </c>
      <c r="BB216" s="83">
        <v>2787.5508</v>
      </c>
      <c r="BC216" s="83">
        <v>0</v>
      </c>
      <c r="BD216" s="83">
        <v>0</v>
      </c>
      <c r="BE216" s="83">
        <v>0</v>
      </c>
      <c r="BF216" s="83">
        <v>0</v>
      </c>
      <c r="BG216" s="83">
        <v>105.575</v>
      </c>
      <c r="BH216" s="83">
        <v>0</v>
      </c>
      <c r="BI216" s="83">
        <v>0</v>
      </c>
      <c r="BJ216" s="83">
        <v>0</v>
      </c>
      <c r="BK216" s="83">
        <v>0</v>
      </c>
      <c r="BL216" s="83">
        <v>0</v>
      </c>
      <c r="BM216" s="83">
        <v>0</v>
      </c>
      <c r="BN216" s="83">
        <v>0</v>
      </c>
      <c r="BO216" s="83">
        <v>0</v>
      </c>
      <c r="BP216" s="83">
        <v>0</v>
      </c>
      <c r="BQ216" s="83">
        <v>0</v>
      </c>
      <c r="BR216" s="83">
        <v>0</v>
      </c>
      <c r="BS216" s="83">
        <v>0</v>
      </c>
      <c r="BT216" s="83">
        <v>0</v>
      </c>
      <c r="BU216" s="83">
        <v>0</v>
      </c>
      <c r="BV216" s="83">
        <v>0</v>
      </c>
      <c r="BW216" s="83">
        <v>0</v>
      </c>
      <c r="BX216" s="83">
        <v>0</v>
      </c>
      <c r="BY216" s="83">
        <v>0</v>
      </c>
      <c r="BZ216" s="83">
        <v>0</v>
      </c>
      <c r="CA216">
        <f t="shared" si="215"/>
        <v>41559.717199999985</v>
      </c>
      <c r="CB216" s="83">
        <v>1213.54</v>
      </c>
      <c r="CC216" s="83">
        <f>SUM(CA216:CB216)</f>
        <v>42773.257199999985</v>
      </c>
    </row>
    <row r="217" spans="1:81">
      <c r="A217" t="s">
        <v>164</v>
      </c>
      <c r="C217" s="77">
        <f t="shared" ref="C217:AD217" si="225">C216/$CA$216</f>
        <v>0.47905288922418382</v>
      </c>
      <c r="D217" s="77">
        <f t="shared" si="225"/>
        <v>3.7294878416545156E-2</v>
      </c>
      <c r="E217" s="77">
        <f t="shared" si="225"/>
        <v>3.7750401246714948E-3</v>
      </c>
      <c r="F217" s="77">
        <f t="shared" si="225"/>
        <v>7.5416538204932763E-3</v>
      </c>
      <c r="G217" s="77">
        <f t="shared" si="225"/>
        <v>6.4933069371319034E-4</v>
      </c>
      <c r="H217" s="77">
        <f t="shared" si="225"/>
        <v>1.7469474022311207E-2</v>
      </c>
      <c r="I217" s="77">
        <f t="shared" si="225"/>
        <v>1.6064243093550219E-2</v>
      </c>
      <c r="J217" s="77">
        <f t="shared" si="225"/>
        <v>4.5736673107101909E-2</v>
      </c>
      <c r="K217" s="77">
        <f t="shared" si="225"/>
        <v>5.0642837386776079E-3</v>
      </c>
      <c r="L217" s="77">
        <f t="shared" si="225"/>
        <v>1.8904940960474106E-3</v>
      </c>
      <c r="M217" s="77">
        <f t="shared" si="225"/>
        <v>4.9002162122508399E-3</v>
      </c>
      <c r="N217" s="77">
        <f t="shared" si="225"/>
        <v>1.3207683713497459E-2</v>
      </c>
      <c r="O217" s="77">
        <f t="shared" si="225"/>
        <v>1.8196129592527649E-3</v>
      </c>
      <c r="P217" s="77">
        <f t="shared" si="225"/>
        <v>0</v>
      </c>
      <c r="Q217" s="77">
        <f t="shared" si="225"/>
        <v>0</v>
      </c>
      <c r="R217" s="77">
        <f t="shared" si="225"/>
        <v>0</v>
      </c>
      <c r="S217" s="77">
        <f t="shared" si="225"/>
        <v>1.1053491961682553E-4</v>
      </c>
      <c r="T217" s="77">
        <f t="shared" si="225"/>
        <v>0</v>
      </c>
      <c r="U217" s="77">
        <f t="shared" si="225"/>
        <v>4.499217333461549E-3</v>
      </c>
      <c r="V217" s="77">
        <f t="shared" si="225"/>
        <v>0</v>
      </c>
      <c r="W217" s="77">
        <f t="shared" si="225"/>
        <v>0</v>
      </c>
      <c r="X217" s="77">
        <f t="shared" si="225"/>
        <v>8.2063503550500617E-3</v>
      </c>
      <c r="Y217" s="77">
        <f t="shared" si="225"/>
        <v>0</v>
      </c>
      <c r="Z217" s="77">
        <f t="shared" si="225"/>
        <v>3.2555755697009424E-3</v>
      </c>
      <c r="AA217" s="77">
        <f t="shared" si="225"/>
        <v>1.9802107796825924E-3</v>
      </c>
      <c r="AB217" s="77">
        <f t="shared" si="225"/>
        <v>0.14933961581432517</v>
      </c>
      <c r="AC217" s="77">
        <f t="shared" si="225"/>
        <v>0</v>
      </c>
      <c r="AD217" s="77">
        <f t="shared" si="225"/>
        <v>0</v>
      </c>
      <c r="AE217" s="77" t="e">
        <f>AE216/$BI$216</f>
        <v>#DIV/0!</v>
      </c>
      <c r="AF217" s="77">
        <f t="shared" ref="AF217:BP217" si="226">AF216/$CA$216</f>
        <v>0</v>
      </c>
      <c r="AG217" s="77">
        <f t="shared" si="226"/>
        <v>0.11622176774581136</v>
      </c>
      <c r="AH217" s="77">
        <f t="shared" si="226"/>
        <v>1.0007127767462291E-2</v>
      </c>
      <c r="AI217" s="77">
        <f t="shared" si="226"/>
        <v>0</v>
      </c>
      <c r="AJ217" s="77">
        <f t="shared" si="226"/>
        <v>0</v>
      </c>
      <c r="AK217" s="77">
        <f t="shared" si="226"/>
        <v>0</v>
      </c>
      <c r="AL217" s="77">
        <f t="shared" si="226"/>
        <v>0</v>
      </c>
      <c r="AM217" s="77">
        <f t="shared" si="226"/>
        <v>0</v>
      </c>
      <c r="AN217" s="77">
        <f t="shared" si="226"/>
        <v>0</v>
      </c>
      <c r="AO217" s="77">
        <f t="shared" si="226"/>
        <v>0</v>
      </c>
      <c r="AP217" s="77">
        <f t="shared" si="226"/>
        <v>0</v>
      </c>
      <c r="AQ217" s="77">
        <f t="shared" si="226"/>
        <v>0</v>
      </c>
      <c r="AR217" s="77">
        <f t="shared" si="226"/>
        <v>0</v>
      </c>
      <c r="AS217" s="77">
        <f t="shared" si="226"/>
        <v>0</v>
      </c>
      <c r="AT217" s="77">
        <f t="shared" si="226"/>
        <v>0</v>
      </c>
      <c r="AU217" s="77">
        <f t="shared" si="226"/>
        <v>0</v>
      </c>
      <c r="AV217" s="77">
        <f t="shared" si="226"/>
        <v>0</v>
      </c>
      <c r="AW217" s="77">
        <f t="shared" si="226"/>
        <v>3.4399656598240776E-4</v>
      </c>
      <c r="AX217" s="77">
        <f t="shared" si="226"/>
        <v>1.95542716541873E-3</v>
      </c>
      <c r="AY217" s="77">
        <f t="shared" si="226"/>
        <v>0</v>
      </c>
      <c r="AZ217" s="77">
        <f t="shared" si="226"/>
        <v>0</v>
      </c>
      <c r="BA217" s="77">
        <f t="shared" si="226"/>
        <v>0</v>
      </c>
      <c r="BB217" s="77">
        <f t="shared" si="226"/>
        <v>6.7073382299146181E-2</v>
      </c>
      <c r="BC217" s="77">
        <f t="shared" si="226"/>
        <v>0</v>
      </c>
      <c r="BD217" s="77">
        <f t="shared" si="226"/>
        <v>0</v>
      </c>
      <c r="BE217" s="77">
        <f t="shared" si="226"/>
        <v>0</v>
      </c>
      <c r="BF217" s="77">
        <f t="shared" si="226"/>
        <v>0</v>
      </c>
      <c r="BG217" s="77">
        <f t="shared" si="226"/>
        <v>2.5403204620458785E-3</v>
      </c>
      <c r="BH217" s="77">
        <f t="shared" si="226"/>
        <v>0</v>
      </c>
      <c r="BI217" s="77">
        <f t="shared" si="226"/>
        <v>0</v>
      </c>
      <c r="BJ217" s="77">
        <f t="shared" si="226"/>
        <v>0</v>
      </c>
      <c r="BK217" s="77">
        <f t="shared" si="226"/>
        <v>0</v>
      </c>
      <c r="BL217" s="77">
        <f t="shared" si="226"/>
        <v>0</v>
      </c>
      <c r="BM217" s="77">
        <f t="shared" si="226"/>
        <v>0</v>
      </c>
      <c r="BN217" s="77">
        <f t="shared" si="226"/>
        <v>0</v>
      </c>
      <c r="BO217" s="77">
        <f t="shared" si="226"/>
        <v>0</v>
      </c>
      <c r="BP217" s="77">
        <f t="shared" si="226"/>
        <v>0</v>
      </c>
      <c r="BQ217" s="77">
        <f t="shared" ref="BQ217:BZ217" si="227">BQ216/$CA$216</f>
        <v>0</v>
      </c>
      <c r="BR217" s="77">
        <f t="shared" si="227"/>
        <v>0</v>
      </c>
      <c r="BS217" s="77">
        <f t="shared" si="227"/>
        <v>0</v>
      </c>
      <c r="BT217" s="77">
        <f t="shared" si="227"/>
        <v>0</v>
      </c>
      <c r="BU217" s="77">
        <f t="shared" si="227"/>
        <v>0</v>
      </c>
      <c r="BV217" s="77">
        <f t="shared" si="227"/>
        <v>0</v>
      </c>
      <c r="BW217" s="77">
        <f t="shared" si="227"/>
        <v>0</v>
      </c>
      <c r="BX217" s="77">
        <f t="shared" si="227"/>
        <v>0</v>
      </c>
      <c r="BY217" s="77">
        <f t="shared" si="227"/>
        <v>0</v>
      </c>
      <c r="BZ217" s="77">
        <f t="shared" si="227"/>
        <v>0</v>
      </c>
      <c r="CA217" s="77" t="e">
        <f t="shared" si="215"/>
        <v>#DIV/0!</v>
      </c>
    </row>
    <row r="218" spans="1:81">
      <c r="A218" t="s">
        <v>164</v>
      </c>
      <c r="C218" s="83">
        <f t="shared" ref="C218:AD218" si="228">$CB$216*C217</f>
        <v>581.34984318911597</v>
      </c>
      <c r="D218" s="83">
        <f t="shared" si="228"/>
        <v>45.258826753614208</v>
      </c>
      <c r="E218" s="83">
        <f t="shared" si="228"/>
        <v>4.5811621928938457</v>
      </c>
      <c r="F218" s="83">
        <f t="shared" si="228"/>
        <v>9.1520985773214107</v>
      </c>
      <c r="G218" s="83">
        <f t="shared" si="228"/>
        <v>0.78798877004870493</v>
      </c>
      <c r="H218" s="83">
        <f t="shared" si="228"/>
        <v>21.199905505035542</v>
      </c>
      <c r="I218" s="83">
        <f t="shared" si="228"/>
        <v>19.494601563746933</v>
      </c>
      <c r="J218" s="83">
        <f t="shared" si="228"/>
        <v>55.503282282392448</v>
      </c>
      <c r="K218" s="83">
        <f t="shared" si="228"/>
        <v>6.1457108882348246</v>
      </c>
      <c r="L218" s="83">
        <f t="shared" si="228"/>
        <v>2.2941902053173746</v>
      </c>
      <c r="M218" s="83">
        <f t="shared" si="228"/>
        <v>5.9466083822148841</v>
      </c>
      <c r="N218" s="83">
        <f t="shared" si="228"/>
        <v>16.028052493677706</v>
      </c>
      <c r="O218" s="83">
        <f t="shared" si="228"/>
        <v>2.2081731105716003</v>
      </c>
      <c r="P218" s="83">
        <f t="shared" si="228"/>
        <v>0</v>
      </c>
      <c r="Q218" s="83">
        <f t="shared" si="228"/>
        <v>0</v>
      </c>
      <c r="R218" s="83">
        <f t="shared" si="228"/>
        <v>0</v>
      </c>
      <c r="S218" s="83">
        <f t="shared" si="228"/>
        <v>0.13413854635180245</v>
      </c>
      <c r="T218" s="83">
        <f t="shared" si="228"/>
        <v>0</v>
      </c>
      <c r="U218" s="83">
        <f t="shared" si="228"/>
        <v>5.4599802028489277</v>
      </c>
      <c r="V218" s="83">
        <f t="shared" si="228"/>
        <v>0</v>
      </c>
      <c r="W218" s="83">
        <f t="shared" si="228"/>
        <v>0</v>
      </c>
      <c r="X218" s="83">
        <f t="shared" si="228"/>
        <v>9.9587344098674517</v>
      </c>
      <c r="Y218" s="83">
        <f t="shared" si="228"/>
        <v>0</v>
      </c>
      <c r="Z218" s="83">
        <f t="shared" si="228"/>
        <v>3.9507711768548814</v>
      </c>
      <c r="AA218" s="83">
        <f t="shared" si="228"/>
        <v>2.4030649895760132</v>
      </c>
      <c r="AB218" s="83">
        <f t="shared" si="228"/>
        <v>181.22959737531616</v>
      </c>
      <c r="AC218" s="83">
        <f t="shared" si="228"/>
        <v>0</v>
      </c>
      <c r="AD218" s="83">
        <f t="shared" si="228"/>
        <v>0</v>
      </c>
      <c r="AE218" s="83" t="e">
        <f>$BJ$216*AE217</f>
        <v>#DIV/0!</v>
      </c>
      <c r="AF218" s="83">
        <f t="shared" ref="AF218:BP218" si="229">$CB$216*AF217</f>
        <v>0</v>
      </c>
      <c r="AG218" s="83">
        <f t="shared" si="229"/>
        <v>141.03976403025192</v>
      </c>
      <c r="AH218" s="83">
        <f t="shared" si="229"/>
        <v>12.144049830926189</v>
      </c>
      <c r="AI218" s="83">
        <f t="shared" si="229"/>
        <v>0</v>
      </c>
      <c r="AJ218" s="83">
        <f t="shared" si="229"/>
        <v>0</v>
      </c>
      <c r="AK218" s="83">
        <f t="shared" si="229"/>
        <v>0</v>
      </c>
      <c r="AL218" s="83">
        <f t="shared" si="229"/>
        <v>0</v>
      </c>
      <c r="AM218" s="83">
        <f t="shared" si="229"/>
        <v>0</v>
      </c>
      <c r="AN218" s="83">
        <f t="shared" si="229"/>
        <v>0</v>
      </c>
      <c r="AO218" s="83">
        <f t="shared" si="229"/>
        <v>0</v>
      </c>
      <c r="AP218" s="83">
        <f t="shared" si="229"/>
        <v>0</v>
      </c>
      <c r="AQ218" s="83">
        <f t="shared" si="229"/>
        <v>0</v>
      </c>
      <c r="AR218" s="83">
        <f t="shared" si="229"/>
        <v>0</v>
      </c>
      <c r="AS218" s="83">
        <f t="shared" si="229"/>
        <v>0</v>
      </c>
      <c r="AT218" s="83">
        <f t="shared" si="229"/>
        <v>0</v>
      </c>
      <c r="AU218" s="83">
        <f t="shared" si="229"/>
        <v>0</v>
      </c>
      <c r="AV218" s="83">
        <f t="shared" si="229"/>
        <v>0</v>
      </c>
      <c r="AW218" s="83">
        <f t="shared" si="229"/>
        <v>0.4174535926822911</v>
      </c>
      <c r="AX218" s="83">
        <f t="shared" si="229"/>
        <v>2.3729890823222455</v>
      </c>
      <c r="AY218" s="83">
        <f t="shared" si="229"/>
        <v>0</v>
      </c>
      <c r="AZ218" s="83">
        <f t="shared" si="229"/>
        <v>0</v>
      </c>
      <c r="BA218" s="83">
        <f t="shared" si="229"/>
        <v>0</v>
      </c>
      <c r="BB218" s="83">
        <f t="shared" si="229"/>
        <v>81.396232355305855</v>
      </c>
      <c r="BC218" s="83">
        <f t="shared" si="229"/>
        <v>0</v>
      </c>
      <c r="BD218" s="83">
        <f t="shared" si="229"/>
        <v>0</v>
      </c>
      <c r="BE218" s="83">
        <f t="shared" si="229"/>
        <v>0</v>
      </c>
      <c r="BF218" s="83">
        <f t="shared" si="229"/>
        <v>0</v>
      </c>
      <c r="BG218" s="83">
        <f t="shared" si="229"/>
        <v>3.0827804935111556</v>
      </c>
      <c r="BH218" s="83">
        <f t="shared" si="229"/>
        <v>0</v>
      </c>
      <c r="BI218" s="83">
        <f t="shared" si="229"/>
        <v>0</v>
      </c>
      <c r="BJ218" s="83">
        <f t="shared" si="229"/>
        <v>0</v>
      </c>
      <c r="BK218" s="83">
        <f t="shared" si="229"/>
        <v>0</v>
      </c>
      <c r="BL218" s="83">
        <f t="shared" si="229"/>
        <v>0</v>
      </c>
      <c r="BM218" s="83">
        <f t="shared" si="229"/>
        <v>0</v>
      </c>
      <c r="BN218" s="83">
        <f t="shared" si="229"/>
        <v>0</v>
      </c>
      <c r="BO218" s="83">
        <f t="shared" si="229"/>
        <v>0</v>
      </c>
      <c r="BP218" s="83">
        <f t="shared" si="229"/>
        <v>0</v>
      </c>
      <c r="BQ218" s="83">
        <f t="shared" ref="BQ218:BZ218" si="230">$CB$216*BQ217</f>
        <v>0</v>
      </c>
      <c r="BR218" s="83">
        <f t="shared" si="230"/>
        <v>0</v>
      </c>
      <c r="BS218" s="83">
        <f t="shared" si="230"/>
        <v>0</v>
      </c>
      <c r="BT218" s="83">
        <f t="shared" si="230"/>
        <v>0</v>
      </c>
      <c r="BU218" s="83">
        <f t="shared" si="230"/>
        <v>0</v>
      </c>
      <c r="BV218" s="83">
        <f t="shared" si="230"/>
        <v>0</v>
      </c>
      <c r="BW218" s="83">
        <f t="shared" si="230"/>
        <v>0</v>
      </c>
      <c r="BX218" s="83">
        <f t="shared" si="230"/>
        <v>0</v>
      </c>
      <c r="BY218" s="83">
        <f t="shared" si="230"/>
        <v>0</v>
      </c>
      <c r="BZ218" s="83">
        <f t="shared" si="230"/>
        <v>0</v>
      </c>
      <c r="CA218" t="e">
        <f t="shared" si="215"/>
        <v>#DIV/0!</v>
      </c>
    </row>
    <row r="219" spans="1:81">
      <c r="A219" t="s">
        <v>164</v>
      </c>
      <c r="C219" s="83">
        <f>C216+C218</f>
        <v>20490.652443189116</v>
      </c>
      <c r="D219" s="83">
        <f t="shared" ref="D219:BP219" si="231">D216+D218</f>
        <v>1595.2234267536141</v>
      </c>
      <c r="E219" s="83">
        <f t="shared" si="231"/>
        <v>161.47076219289386</v>
      </c>
      <c r="F219" s="83">
        <f t="shared" si="231"/>
        <v>322.58109857732143</v>
      </c>
      <c r="G219" s="83">
        <f t="shared" si="231"/>
        <v>27.773988770048707</v>
      </c>
      <c r="H219" s="83">
        <f t="shared" si="231"/>
        <v>747.2263055050355</v>
      </c>
      <c r="I219" s="83">
        <f t="shared" si="231"/>
        <v>687.120001563747</v>
      </c>
      <c r="J219" s="83">
        <f t="shared" si="231"/>
        <v>1956.3064822823926</v>
      </c>
      <c r="K219" s="83">
        <f t="shared" si="231"/>
        <v>216.61591088823482</v>
      </c>
      <c r="L219" s="83">
        <f t="shared" si="231"/>
        <v>80.862590205317375</v>
      </c>
      <c r="M219" s="83">
        <f t="shared" si="231"/>
        <v>209.59820838221489</v>
      </c>
      <c r="N219" s="83">
        <f t="shared" si="231"/>
        <v>564.93565249367771</v>
      </c>
      <c r="O219" s="83">
        <f t="shared" si="231"/>
        <v>77.830773110571613</v>
      </c>
      <c r="P219" s="83">
        <f t="shared" si="231"/>
        <v>0</v>
      </c>
      <c r="Q219" s="83">
        <f t="shared" si="231"/>
        <v>0</v>
      </c>
      <c r="R219" s="83">
        <f t="shared" si="231"/>
        <v>0</v>
      </c>
      <c r="S219" s="83">
        <f t="shared" si="231"/>
        <v>4.727938546351802</v>
      </c>
      <c r="T219" s="83">
        <f t="shared" si="231"/>
        <v>0</v>
      </c>
      <c r="U219" s="83">
        <f t="shared" si="231"/>
        <v>192.44618020284892</v>
      </c>
      <c r="V219" s="83">
        <f t="shared" si="231"/>
        <v>0</v>
      </c>
      <c r="W219" s="83">
        <f t="shared" si="231"/>
        <v>0</v>
      </c>
      <c r="X219" s="83">
        <f t="shared" si="231"/>
        <v>351.01233440986749</v>
      </c>
      <c r="Y219" s="83">
        <f t="shared" si="231"/>
        <v>0</v>
      </c>
      <c r="Z219" s="83">
        <f t="shared" si="231"/>
        <v>139.2515711768549</v>
      </c>
      <c r="AA219" s="83">
        <f t="shared" si="231"/>
        <v>84.70006498957602</v>
      </c>
      <c r="AB219" s="83">
        <f t="shared" si="231"/>
        <v>6387.7417973753163</v>
      </c>
      <c r="AC219" s="83">
        <f t="shared" si="231"/>
        <v>0</v>
      </c>
      <c r="AD219" s="83">
        <f t="shared" si="231"/>
        <v>0</v>
      </c>
      <c r="AE219" s="83" t="e">
        <f t="shared" ref="AE219" si="232">AE216+AE218</f>
        <v>#DIV/0!</v>
      </c>
      <c r="AF219" s="83">
        <f t="shared" si="231"/>
        <v>0</v>
      </c>
      <c r="AG219" s="83">
        <f t="shared" si="231"/>
        <v>4971.1835640302515</v>
      </c>
      <c r="AH219" s="83">
        <f t="shared" si="231"/>
        <v>428.03744983092616</v>
      </c>
      <c r="AI219" s="83">
        <f t="shared" si="231"/>
        <v>0</v>
      </c>
      <c r="AJ219" s="83">
        <f t="shared" si="231"/>
        <v>0</v>
      </c>
      <c r="AK219" s="83">
        <f t="shared" si="231"/>
        <v>0</v>
      </c>
      <c r="AL219" s="83">
        <f t="shared" si="231"/>
        <v>0</v>
      </c>
      <c r="AM219" s="83">
        <f t="shared" si="231"/>
        <v>0</v>
      </c>
      <c r="AN219" s="83">
        <f t="shared" si="231"/>
        <v>0</v>
      </c>
      <c r="AO219" s="83">
        <f t="shared" si="231"/>
        <v>0</v>
      </c>
      <c r="AP219" s="83">
        <f t="shared" si="231"/>
        <v>0</v>
      </c>
      <c r="AQ219" s="83">
        <f t="shared" si="231"/>
        <v>0</v>
      </c>
      <c r="AR219" s="83">
        <f t="shared" si="231"/>
        <v>0</v>
      </c>
      <c r="AS219" s="83">
        <f t="shared" si="231"/>
        <v>0</v>
      </c>
      <c r="AT219" s="83">
        <f t="shared" si="231"/>
        <v>0</v>
      </c>
      <c r="AU219" s="83">
        <f t="shared" si="231"/>
        <v>0</v>
      </c>
      <c r="AV219" s="83">
        <f t="shared" si="231"/>
        <v>0</v>
      </c>
      <c r="AW219" s="83">
        <f t="shared" si="231"/>
        <v>14.713853592682293</v>
      </c>
      <c r="AX219" s="83">
        <f t="shared" si="231"/>
        <v>83.639989082322259</v>
      </c>
      <c r="AY219" s="83">
        <f t="shared" si="231"/>
        <v>0</v>
      </c>
      <c r="AZ219" s="83">
        <f t="shared" si="231"/>
        <v>0</v>
      </c>
      <c r="BA219" s="83">
        <f t="shared" si="231"/>
        <v>0</v>
      </c>
      <c r="BB219" s="83">
        <f t="shared" si="231"/>
        <v>2868.947032355306</v>
      </c>
      <c r="BC219" s="83">
        <f t="shared" si="231"/>
        <v>0</v>
      </c>
      <c r="BD219" s="83">
        <f t="shared" si="231"/>
        <v>0</v>
      </c>
      <c r="BE219" s="83">
        <f t="shared" si="231"/>
        <v>0</v>
      </c>
      <c r="BF219" s="83">
        <f t="shared" si="231"/>
        <v>0</v>
      </c>
      <c r="BG219" s="83">
        <f t="shared" si="231"/>
        <v>108.65778049351115</v>
      </c>
      <c r="BH219" s="83">
        <f t="shared" si="231"/>
        <v>0</v>
      </c>
      <c r="BI219" s="83">
        <f t="shared" si="231"/>
        <v>0</v>
      </c>
      <c r="BJ219" s="83">
        <f t="shared" si="231"/>
        <v>0</v>
      </c>
      <c r="BK219" s="83">
        <f t="shared" si="231"/>
        <v>0</v>
      </c>
      <c r="BL219" s="83">
        <f t="shared" si="231"/>
        <v>0</v>
      </c>
      <c r="BM219" s="83">
        <f t="shared" si="231"/>
        <v>0</v>
      </c>
      <c r="BN219" s="83">
        <f t="shared" si="231"/>
        <v>0</v>
      </c>
      <c r="BO219" s="83">
        <f t="shared" si="231"/>
        <v>0</v>
      </c>
      <c r="BP219" s="83">
        <f t="shared" si="231"/>
        <v>0</v>
      </c>
      <c r="BQ219" s="83">
        <f t="shared" ref="BQ219:BZ219" si="233">BQ216+BQ218</f>
        <v>0</v>
      </c>
      <c r="BR219" s="83">
        <f t="shared" si="233"/>
        <v>0</v>
      </c>
      <c r="BS219" s="83">
        <f t="shared" si="233"/>
        <v>0</v>
      </c>
      <c r="BT219" s="83">
        <f t="shared" si="233"/>
        <v>0</v>
      </c>
      <c r="BU219" s="83">
        <f t="shared" si="233"/>
        <v>0</v>
      </c>
      <c r="BV219" s="83">
        <f t="shared" si="233"/>
        <v>0</v>
      </c>
      <c r="BW219" s="83">
        <f t="shared" si="233"/>
        <v>0</v>
      </c>
      <c r="BX219" s="83">
        <f t="shared" si="233"/>
        <v>0</v>
      </c>
      <c r="BY219" s="83">
        <f t="shared" si="233"/>
        <v>0</v>
      </c>
      <c r="BZ219" s="83">
        <f t="shared" si="233"/>
        <v>0</v>
      </c>
      <c r="CA219" s="83" t="e">
        <f t="shared" si="215"/>
        <v>#DIV/0!</v>
      </c>
    </row>
    <row r="220" spans="1:81">
      <c r="CA220" s="83"/>
    </row>
    <row r="221" spans="1:81">
      <c r="A221" s="7" t="s">
        <v>171</v>
      </c>
      <c r="C221" s="83">
        <v>3633.0365999999999</v>
      </c>
      <c r="D221" s="83">
        <v>2160.7752</v>
      </c>
      <c r="E221" s="83">
        <v>319.1146</v>
      </c>
      <c r="F221" s="83">
        <v>387.79500000000002</v>
      </c>
      <c r="G221" s="83">
        <v>0</v>
      </c>
      <c r="H221" s="83">
        <v>417.99459999999999</v>
      </c>
      <c r="I221" s="83">
        <v>833.41420000000005</v>
      </c>
      <c r="J221" s="83">
        <v>2059.1554000000001</v>
      </c>
      <c r="K221" s="83">
        <v>432.64120000000003</v>
      </c>
      <c r="L221" s="83">
        <v>103.59740000000001</v>
      </c>
      <c r="M221" s="83">
        <v>405.75819999999999</v>
      </c>
      <c r="N221" s="83">
        <v>1065.3701999999998</v>
      </c>
      <c r="O221" s="83">
        <v>150.68900000000002</v>
      </c>
      <c r="P221" s="83">
        <v>8.4666000000000015</v>
      </c>
      <c r="Q221" s="83">
        <v>12.442400000000001</v>
      </c>
      <c r="R221" s="83">
        <v>12.442400000000001</v>
      </c>
      <c r="S221" s="83">
        <v>9.1875999999999998</v>
      </c>
      <c r="T221" s="83">
        <v>0</v>
      </c>
      <c r="U221" s="83">
        <v>366.32980000000003</v>
      </c>
      <c r="V221" s="83">
        <v>0</v>
      </c>
      <c r="W221" s="83">
        <v>0</v>
      </c>
      <c r="X221" s="83">
        <v>770.06920000000002</v>
      </c>
      <c r="Y221" s="83">
        <v>0</v>
      </c>
      <c r="Z221" s="83">
        <v>219.96680000000001</v>
      </c>
      <c r="AA221" s="83">
        <v>162.86360000000002</v>
      </c>
      <c r="AB221" s="83">
        <v>1310.366</v>
      </c>
      <c r="AC221" s="83">
        <v>0</v>
      </c>
      <c r="AD221" s="83">
        <v>0</v>
      </c>
      <c r="AE221" s="83">
        <v>0</v>
      </c>
      <c r="AF221" s="83">
        <v>0</v>
      </c>
      <c r="AG221" s="83">
        <v>1259.1544000000001</v>
      </c>
      <c r="AH221" s="83">
        <v>558.52779999999996</v>
      </c>
      <c r="AI221" s="83">
        <v>0</v>
      </c>
      <c r="AJ221" s="83">
        <v>0</v>
      </c>
      <c r="AK221" s="83">
        <v>0</v>
      </c>
      <c r="AL221" s="83">
        <v>0</v>
      </c>
      <c r="AM221" s="83">
        <v>0</v>
      </c>
      <c r="AN221" s="83">
        <v>0</v>
      </c>
      <c r="AO221" s="83">
        <v>0</v>
      </c>
      <c r="AP221" s="83">
        <v>0</v>
      </c>
      <c r="AQ221" s="83">
        <v>0.84460000000000002</v>
      </c>
      <c r="AR221" s="83">
        <v>180.16759999999999</v>
      </c>
      <c r="AS221" s="83">
        <v>0</v>
      </c>
      <c r="AT221" s="83">
        <v>101.1666</v>
      </c>
      <c r="AU221" s="83">
        <v>0</v>
      </c>
      <c r="AV221" s="83">
        <v>0</v>
      </c>
      <c r="AW221" s="83">
        <v>237.31200000000001</v>
      </c>
      <c r="AX221" s="83">
        <v>0</v>
      </c>
      <c r="AY221" s="83">
        <v>0</v>
      </c>
      <c r="AZ221" s="83">
        <v>38.048200000000001</v>
      </c>
      <c r="BA221" s="83">
        <v>0</v>
      </c>
      <c r="BB221" s="83">
        <v>0</v>
      </c>
      <c r="BC221" s="83">
        <v>0</v>
      </c>
      <c r="BD221" s="83">
        <v>0</v>
      </c>
      <c r="BE221" s="83">
        <v>0</v>
      </c>
      <c r="BF221" s="83">
        <v>0</v>
      </c>
      <c r="BG221" s="83">
        <v>0</v>
      </c>
      <c r="BH221" s="83">
        <v>196.91540000000001</v>
      </c>
      <c r="BI221" s="83">
        <v>0</v>
      </c>
      <c r="BJ221" s="83">
        <v>82.667800000000014</v>
      </c>
      <c r="BK221" s="83">
        <v>79.804400000000001</v>
      </c>
      <c r="BL221" s="83">
        <v>0</v>
      </c>
      <c r="BM221" s="83">
        <v>0</v>
      </c>
      <c r="BN221" s="83">
        <v>0</v>
      </c>
      <c r="BO221" s="83">
        <v>757.23539999999991</v>
      </c>
      <c r="BP221" s="83">
        <v>66.126000000000005</v>
      </c>
      <c r="BQ221" s="83">
        <v>58.71</v>
      </c>
      <c r="BR221" s="83">
        <v>52.282800000000002</v>
      </c>
      <c r="BS221" s="83">
        <v>201.75640000000001</v>
      </c>
      <c r="BT221" s="83">
        <v>210.6968</v>
      </c>
      <c r="BU221" s="83">
        <v>0</v>
      </c>
      <c r="BV221" s="83">
        <v>0</v>
      </c>
      <c r="BW221" s="83">
        <v>0</v>
      </c>
      <c r="BX221" s="83">
        <v>0</v>
      </c>
      <c r="BY221" s="83">
        <v>0</v>
      </c>
      <c r="BZ221" s="83">
        <v>0</v>
      </c>
      <c r="CA221" s="83">
        <f t="shared" si="215"/>
        <v>18922.892200000006</v>
      </c>
      <c r="CB221" s="83">
        <v>1969.2600000000002</v>
      </c>
      <c r="CC221" s="83">
        <f>SUM(CA221:CB221)</f>
        <v>20892.152200000004</v>
      </c>
    </row>
    <row r="222" spans="1:81">
      <c r="A222" s="7" t="s">
        <v>171</v>
      </c>
      <c r="C222" s="77">
        <f t="shared" ref="C222:AD222" si="234">C221/$CA$221</f>
        <v>0.19199161320593469</v>
      </c>
      <c r="D222" s="77">
        <f t="shared" si="234"/>
        <v>0.11418842200031132</v>
      </c>
      <c r="E222" s="77">
        <f t="shared" si="234"/>
        <v>1.6863944297056236E-2</v>
      </c>
      <c r="F222" s="77">
        <f t="shared" si="234"/>
        <v>2.0493431759865961E-2</v>
      </c>
      <c r="G222" s="77">
        <f t="shared" si="234"/>
        <v>0</v>
      </c>
      <c r="H222" s="77">
        <f t="shared" si="234"/>
        <v>2.2089361160129627E-2</v>
      </c>
      <c r="I222" s="77">
        <f t="shared" si="234"/>
        <v>4.4042643756116724E-2</v>
      </c>
      <c r="J222" s="77">
        <f t="shared" si="234"/>
        <v>0.10881821754499027</v>
      </c>
      <c r="K222" s="77">
        <f t="shared" si="234"/>
        <v>2.2863376032972376E-2</v>
      </c>
      <c r="L222" s="77">
        <f t="shared" si="234"/>
        <v>5.4747127925825192E-3</v>
      </c>
      <c r="M222" s="77">
        <f t="shared" si="234"/>
        <v>2.1442715823324295E-2</v>
      </c>
      <c r="N222" s="77">
        <f t="shared" si="234"/>
        <v>5.6300600814076375E-2</v>
      </c>
      <c r="O222" s="77">
        <f t="shared" si="234"/>
        <v>7.9633175736212227E-3</v>
      </c>
      <c r="P222" s="77">
        <f t="shared" si="234"/>
        <v>4.4742631890065931E-4</v>
      </c>
      <c r="Q222" s="77">
        <f t="shared" si="234"/>
        <v>6.5753162193673534E-4</v>
      </c>
      <c r="R222" s="77">
        <f t="shared" si="234"/>
        <v>6.5753162193673534E-4</v>
      </c>
      <c r="S222" s="77">
        <f t="shared" si="234"/>
        <v>4.855283168605694E-4</v>
      </c>
      <c r="T222" s="77">
        <f t="shared" si="234"/>
        <v>0</v>
      </c>
      <c r="U222" s="77">
        <f t="shared" si="234"/>
        <v>1.9359080849173781E-2</v>
      </c>
      <c r="V222" s="77">
        <f t="shared" si="234"/>
        <v>0</v>
      </c>
      <c r="W222" s="77">
        <f t="shared" si="234"/>
        <v>0</v>
      </c>
      <c r="X222" s="77">
        <f t="shared" si="234"/>
        <v>4.0695111078210326E-2</v>
      </c>
      <c r="Y222" s="77">
        <f t="shared" si="234"/>
        <v>0</v>
      </c>
      <c r="Z222" s="77">
        <f t="shared" si="234"/>
        <v>1.1624375263312019E-2</v>
      </c>
      <c r="AA222" s="77">
        <f t="shared" si="234"/>
        <v>8.6066970248871357E-3</v>
      </c>
      <c r="AB222" s="77">
        <f t="shared" si="234"/>
        <v>6.9247659720853852E-2</v>
      </c>
      <c r="AC222" s="77">
        <f t="shared" si="234"/>
        <v>0</v>
      </c>
      <c r="AD222" s="77">
        <f t="shared" si="234"/>
        <v>0</v>
      </c>
      <c r="AE222" s="77" t="e">
        <f>AE221/$BI$221</f>
        <v>#DIV/0!</v>
      </c>
      <c r="AF222" s="77">
        <f t="shared" ref="AF222:BP222" si="235">AF221/$CA$221</f>
        <v>0</v>
      </c>
      <c r="AG222" s="77">
        <f t="shared" si="235"/>
        <v>6.65413292371871E-2</v>
      </c>
      <c r="AH222" s="77">
        <f t="shared" si="235"/>
        <v>2.9515984876772684E-2</v>
      </c>
      <c r="AI222" s="77">
        <f t="shared" si="235"/>
        <v>0</v>
      </c>
      <c r="AJ222" s="77">
        <f t="shared" si="235"/>
        <v>0</v>
      </c>
      <c r="AK222" s="77">
        <f t="shared" si="235"/>
        <v>0</v>
      </c>
      <c r="AL222" s="77">
        <f t="shared" si="235"/>
        <v>0</v>
      </c>
      <c r="AM222" s="77">
        <f t="shared" si="235"/>
        <v>0</v>
      </c>
      <c r="AN222" s="77">
        <f t="shared" si="235"/>
        <v>0</v>
      </c>
      <c r="AO222" s="77">
        <f t="shared" si="235"/>
        <v>0</v>
      </c>
      <c r="AP222" s="77">
        <f t="shared" si="235"/>
        <v>0</v>
      </c>
      <c r="AQ222" s="77">
        <f t="shared" si="235"/>
        <v>4.4633769038751894E-5</v>
      </c>
      <c r="AR222" s="77">
        <f t="shared" si="235"/>
        <v>9.5211449759249767E-3</v>
      </c>
      <c r="AS222" s="77">
        <f t="shared" si="235"/>
        <v>0</v>
      </c>
      <c r="AT222" s="77">
        <f t="shared" si="235"/>
        <v>5.3462546280319649E-3</v>
      </c>
      <c r="AU222" s="77">
        <f t="shared" si="235"/>
        <v>0</v>
      </c>
      <c r="AV222" s="77">
        <f t="shared" si="235"/>
        <v>0</v>
      </c>
      <c r="AW222" s="77">
        <f t="shared" si="235"/>
        <v>1.2541000471376143E-2</v>
      </c>
      <c r="AX222" s="77">
        <f t="shared" si="235"/>
        <v>0</v>
      </c>
      <c r="AY222" s="77">
        <f t="shared" si="235"/>
        <v>0</v>
      </c>
      <c r="AZ222" s="77">
        <f t="shared" si="235"/>
        <v>2.0106968637701159E-3</v>
      </c>
      <c r="BA222" s="77">
        <f t="shared" si="235"/>
        <v>0</v>
      </c>
      <c r="BB222" s="77">
        <f t="shared" si="235"/>
        <v>0</v>
      </c>
      <c r="BC222" s="77">
        <f t="shared" si="235"/>
        <v>0</v>
      </c>
      <c r="BD222" s="77">
        <f t="shared" si="235"/>
        <v>0</v>
      </c>
      <c r="BE222" s="77">
        <f t="shared" si="235"/>
        <v>0</v>
      </c>
      <c r="BF222" s="77">
        <f t="shared" si="235"/>
        <v>0</v>
      </c>
      <c r="BG222" s="77">
        <f t="shared" si="235"/>
        <v>0</v>
      </c>
      <c r="BH222" s="77">
        <f t="shared" si="235"/>
        <v>1.0406199957108033E-2</v>
      </c>
      <c r="BI222" s="77">
        <f t="shared" si="235"/>
        <v>0</v>
      </c>
      <c r="BJ222" s="77">
        <f t="shared" si="235"/>
        <v>4.3686662232319852E-3</v>
      </c>
      <c r="BK222" s="77">
        <f t="shared" si="235"/>
        <v>4.2173468599054839E-3</v>
      </c>
      <c r="BL222" s="77">
        <f t="shared" si="235"/>
        <v>0</v>
      </c>
      <c r="BM222" s="77">
        <f t="shared" si="235"/>
        <v>0</v>
      </c>
      <c r="BN222" s="77">
        <f t="shared" si="235"/>
        <v>0</v>
      </c>
      <c r="BO222" s="77">
        <f t="shared" si="235"/>
        <v>4.001689551452392E-2</v>
      </c>
      <c r="BP222" s="77">
        <f t="shared" si="235"/>
        <v>3.4944975271803316E-3</v>
      </c>
      <c r="BQ222" s="77">
        <f t="shared" ref="BQ222:BZ222" si="236">BQ221/$CA$221</f>
        <v>3.1025912624498271E-3</v>
      </c>
      <c r="BR222" s="77">
        <f t="shared" si="236"/>
        <v>2.7629391663500564E-3</v>
      </c>
      <c r="BS222" s="77">
        <f t="shared" si="236"/>
        <v>1.0662027657696003E-2</v>
      </c>
      <c r="BT222" s="77">
        <f t="shared" si="236"/>
        <v>1.1134492432398887E-2</v>
      </c>
      <c r="BU222" s="77">
        <f t="shared" si="236"/>
        <v>0</v>
      </c>
      <c r="BV222" s="77">
        <f t="shared" si="236"/>
        <v>0</v>
      </c>
      <c r="BW222" s="77">
        <f t="shared" si="236"/>
        <v>0</v>
      </c>
      <c r="BX222" s="77">
        <f t="shared" si="236"/>
        <v>0</v>
      </c>
      <c r="BY222" s="77">
        <f t="shared" si="236"/>
        <v>0</v>
      </c>
      <c r="BZ222" s="77">
        <f t="shared" si="236"/>
        <v>0</v>
      </c>
      <c r="CA222" s="77" t="e">
        <f t="shared" si="215"/>
        <v>#DIV/0!</v>
      </c>
    </row>
    <row r="223" spans="1:81">
      <c r="A223" s="7" t="s">
        <v>171</v>
      </c>
      <c r="C223" s="83">
        <f t="shared" ref="C223:AD223" si="237">$CB$221*C222</f>
        <v>378.081404221919</v>
      </c>
      <c r="D223" s="83">
        <f t="shared" si="237"/>
        <v>224.86669190833308</v>
      </c>
      <c r="E223" s="83">
        <f t="shared" si="237"/>
        <v>33.209490946420964</v>
      </c>
      <c r="F223" s="83">
        <f t="shared" si="237"/>
        <v>40.356895427433649</v>
      </c>
      <c r="G223" s="83">
        <f t="shared" si="237"/>
        <v>0</v>
      </c>
      <c r="H223" s="83">
        <f t="shared" si="237"/>
        <v>43.499695358196874</v>
      </c>
      <c r="I223" s="83">
        <f t="shared" si="237"/>
        <v>86.731416643170434</v>
      </c>
      <c r="J223" s="83">
        <f t="shared" si="237"/>
        <v>214.29136308264756</v>
      </c>
      <c r="K223" s="83">
        <f t="shared" si="237"/>
        <v>45.023931886691187</v>
      </c>
      <c r="L223" s="83">
        <f t="shared" si="237"/>
        <v>10.781132913921052</v>
      </c>
      <c r="M223" s="83">
        <f t="shared" si="237"/>
        <v>42.226282562239604</v>
      </c>
      <c r="N223" s="83">
        <f t="shared" si="237"/>
        <v>110.87052115912806</v>
      </c>
      <c r="O223" s="83">
        <f t="shared" si="237"/>
        <v>15.68184276502933</v>
      </c>
      <c r="P223" s="83">
        <f t="shared" si="237"/>
        <v>0.8810987527583124</v>
      </c>
      <c r="Q223" s="83">
        <f t="shared" si="237"/>
        <v>1.2948507218151355</v>
      </c>
      <c r="R223" s="83">
        <f t="shared" si="237"/>
        <v>1.2948507218151355</v>
      </c>
      <c r="S223" s="83">
        <f t="shared" si="237"/>
        <v>0.95613149326084501</v>
      </c>
      <c r="T223" s="83">
        <f t="shared" si="237"/>
        <v>0</v>
      </c>
      <c r="U223" s="83">
        <f t="shared" si="237"/>
        <v>38.123063553043963</v>
      </c>
      <c r="V223" s="83">
        <f t="shared" si="237"/>
        <v>0</v>
      </c>
      <c r="W223" s="83">
        <f t="shared" si="237"/>
        <v>0</v>
      </c>
      <c r="X223" s="83">
        <f t="shared" si="237"/>
        <v>80.139254441876474</v>
      </c>
      <c r="Y223" s="83">
        <f t="shared" si="237"/>
        <v>0</v>
      </c>
      <c r="Z223" s="83">
        <f t="shared" si="237"/>
        <v>22.891417231029831</v>
      </c>
      <c r="AA223" s="83">
        <f t="shared" si="237"/>
        <v>16.948824183229242</v>
      </c>
      <c r="AB223" s="83">
        <f t="shared" si="237"/>
        <v>136.36664638188867</v>
      </c>
      <c r="AC223" s="83">
        <f t="shared" si="237"/>
        <v>0</v>
      </c>
      <c r="AD223" s="83">
        <f t="shared" si="237"/>
        <v>0</v>
      </c>
      <c r="AE223" s="83" t="e">
        <f>$BJ$221*AE222</f>
        <v>#DIV/0!</v>
      </c>
      <c r="AF223" s="83">
        <f t="shared" ref="AF223:BP223" si="238">$CB$221*AF222</f>
        <v>0</v>
      </c>
      <c r="AG223" s="83">
        <f t="shared" si="238"/>
        <v>131.03717801362308</v>
      </c>
      <c r="AH223" s="83">
        <f t="shared" si="238"/>
        <v>58.124648378433385</v>
      </c>
      <c r="AI223" s="83">
        <f t="shared" si="238"/>
        <v>0</v>
      </c>
      <c r="AJ223" s="83">
        <f t="shared" si="238"/>
        <v>0</v>
      </c>
      <c r="AK223" s="83">
        <f t="shared" si="238"/>
        <v>0</v>
      </c>
      <c r="AL223" s="83">
        <f t="shared" si="238"/>
        <v>0</v>
      </c>
      <c r="AM223" s="83">
        <f t="shared" si="238"/>
        <v>0</v>
      </c>
      <c r="AN223" s="83">
        <f t="shared" si="238"/>
        <v>0</v>
      </c>
      <c r="AO223" s="83">
        <f t="shared" si="238"/>
        <v>0</v>
      </c>
      <c r="AP223" s="83">
        <f t="shared" si="238"/>
        <v>0</v>
      </c>
      <c r="AQ223" s="83">
        <f t="shared" si="238"/>
        <v>8.7895496017252564E-2</v>
      </c>
      <c r="AR223" s="83">
        <f t="shared" si="238"/>
        <v>18.749609955290023</v>
      </c>
      <c r="AS223" s="83">
        <f t="shared" si="238"/>
        <v>0</v>
      </c>
      <c r="AT223" s="83">
        <f t="shared" si="238"/>
        <v>10.528165388798229</v>
      </c>
      <c r="AU223" s="83">
        <f t="shared" si="238"/>
        <v>0</v>
      </c>
      <c r="AV223" s="83">
        <f t="shared" si="238"/>
        <v>0</v>
      </c>
      <c r="AW223" s="83">
        <f t="shared" si="238"/>
        <v>24.696490588262186</v>
      </c>
      <c r="AX223" s="83">
        <f t="shared" si="238"/>
        <v>0</v>
      </c>
      <c r="AY223" s="83">
        <f t="shared" si="238"/>
        <v>0</v>
      </c>
      <c r="AZ223" s="83">
        <f t="shared" si="238"/>
        <v>3.9595849059479389</v>
      </c>
      <c r="BA223" s="83">
        <f t="shared" si="238"/>
        <v>0</v>
      </c>
      <c r="BB223" s="83">
        <f t="shared" si="238"/>
        <v>0</v>
      </c>
      <c r="BC223" s="83">
        <f t="shared" si="238"/>
        <v>0</v>
      </c>
      <c r="BD223" s="83">
        <f t="shared" si="238"/>
        <v>0</v>
      </c>
      <c r="BE223" s="83">
        <f t="shared" si="238"/>
        <v>0</v>
      </c>
      <c r="BF223" s="83">
        <f t="shared" si="238"/>
        <v>0</v>
      </c>
      <c r="BG223" s="83">
        <f t="shared" si="238"/>
        <v>0</v>
      </c>
      <c r="BH223" s="83">
        <f t="shared" si="238"/>
        <v>20.492513327534567</v>
      </c>
      <c r="BI223" s="83">
        <f t="shared" si="238"/>
        <v>0</v>
      </c>
      <c r="BJ223" s="83">
        <f t="shared" si="238"/>
        <v>8.60303964676182</v>
      </c>
      <c r="BK223" s="83">
        <f t="shared" si="238"/>
        <v>8.3050524773374743</v>
      </c>
      <c r="BL223" s="83">
        <f t="shared" si="238"/>
        <v>0</v>
      </c>
      <c r="BM223" s="83">
        <f t="shared" si="238"/>
        <v>0</v>
      </c>
      <c r="BN223" s="83">
        <f t="shared" si="238"/>
        <v>0</v>
      </c>
      <c r="BO223" s="83">
        <f t="shared" si="238"/>
        <v>78.803671660931386</v>
      </c>
      <c r="BP223" s="83">
        <f t="shared" si="238"/>
        <v>6.8815742003751401</v>
      </c>
      <c r="BQ223" s="83">
        <f t="shared" ref="BQ223:BZ223" si="239">$CB$221*BQ222</f>
        <v>6.109808869491947</v>
      </c>
      <c r="BR223" s="83">
        <f t="shared" si="239"/>
        <v>5.4409455827265125</v>
      </c>
      <c r="BS223" s="83">
        <f t="shared" si="239"/>
        <v>20.996304585194434</v>
      </c>
      <c r="BT223" s="83">
        <f t="shared" si="239"/>
        <v>21.926710567425836</v>
      </c>
      <c r="BU223" s="83">
        <f t="shared" si="239"/>
        <v>0</v>
      </c>
      <c r="BV223" s="83">
        <f t="shared" si="239"/>
        <v>0</v>
      </c>
      <c r="BW223" s="83">
        <f t="shared" si="239"/>
        <v>0</v>
      </c>
      <c r="BX223" s="83">
        <f t="shared" si="239"/>
        <v>0</v>
      </c>
      <c r="BY223" s="83">
        <f t="shared" si="239"/>
        <v>0</v>
      </c>
      <c r="BZ223" s="83">
        <f t="shared" si="239"/>
        <v>0</v>
      </c>
      <c r="CA223" s="83" t="e">
        <f t="shared" si="215"/>
        <v>#DIV/0!</v>
      </c>
    </row>
    <row r="224" spans="1:81">
      <c r="A224" s="7" t="s">
        <v>171</v>
      </c>
      <c r="C224" s="83">
        <f>C221+C223</f>
        <v>4011.1180042219189</v>
      </c>
      <c r="D224" s="83">
        <f t="shared" ref="D224:BP224" si="240">D221+D223</f>
        <v>2385.641891908333</v>
      </c>
      <c r="E224" s="83">
        <f t="shared" si="240"/>
        <v>352.32409094642094</v>
      </c>
      <c r="F224" s="83">
        <f t="shared" si="240"/>
        <v>428.15189542743366</v>
      </c>
      <c r="G224" s="83">
        <f t="shared" si="240"/>
        <v>0</v>
      </c>
      <c r="H224" s="83">
        <f t="shared" si="240"/>
        <v>461.49429535819684</v>
      </c>
      <c r="I224" s="83">
        <f t="shared" si="240"/>
        <v>920.14561664317046</v>
      </c>
      <c r="J224" s="83">
        <f t="shared" si="240"/>
        <v>2273.4467630826475</v>
      </c>
      <c r="K224" s="83">
        <f t="shared" si="240"/>
        <v>477.6651318866912</v>
      </c>
      <c r="L224" s="83">
        <f t="shared" si="240"/>
        <v>114.37853291392106</v>
      </c>
      <c r="M224" s="83">
        <f t="shared" si="240"/>
        <v>447.98448256223958</v>
      </c>
      <c r="N224" s="83">
        <f t="shared" si="240"/>
        <v>1176.2407211591278</v>
      </c>
      <c r="O224" s="83">
        <f t="shared" si="240"/>
        <v>166.37084276502935</v>
      </c>
      <c r="P224" s="83">
        <f t="shared" si="240"/>
        <v>9.3476987527583137</v>
      </c>
      <c r="Q224" s="83">
        <f t="shared" si="240"/>
        <v>13.737250721815137</v>
      </c>
      <c r="R224" s="83">
        <f t="shared" si="240"/>
        <v>13.737250721815137</v>
      </c>
      <c r="S224" s="83">
        <f t="shared" si="240"/>
        <v>10.143731493260844</v>
      </c>
      <c r="T224" s="83">
        <f t="shared" si="240"/>
        <v>0</v>
      </c>
      <c r="U224" s="83">
        <f t="shared" si="240"/>
        <v>404.45286355304398</v>
      </c>
      <c r="V224" s="83">
        <f t="shared" si="240"/>
        <v>0</v>
      </c>
      <c r="W224" s="83">
        <f t="shared" si="240"/>
        <v>0</v>
      </c>
      <c r="X224" s="83">
        <f t="shared" si="240"/>
        <v>850.20845444187648</v>
      </c>
      <c r="Y224" s="83">
        <f t="shared" si="240"/>
        <v>0</v>
      </c>
      <c r="Z224" s="83">
        <f t="shared" si="240"/>
        <v>242.85821723102984</v>
      </c>
      <c r="AA224" s="83">
        <f t="shared" si="240"/>
        <v>179.81242418322927</v>
      </c>
      <c r="AB224" s="83">
        <f t="shared" si="240"/>
        <v>1446.7326463818886</v>
      </c>
      <c r="AC224" s="83">
        <f t="shared" si="240"/>
        <v>0</v>
      </c>
      <c r="AD224" s="83">
        <f t="shared" si="240"/>
        <v>0</v>
      </c>
      <c r="AE224" s="83" t="e">
        <f t="shared" ref="AE224" si="241">AE221+AE223</f>
        <v>#DIV/0!</v>
      </c>
      <c r="AF224" s="83">
        <f t="shared" si="240"/>
        <v>0</v>
      </c>
      <c r="AG224" s="83">
        <f t="shared" si="240"/>
        <v>1390.1915780136233</v>
      </c>
      <c r="AH224" s="83">
        <f t="shared" si="240"/>
        <v>616.65244837843329</v>
      </c>
      <c r="AI224" s="83">
        <f t="shared" si="240"/>
        <v>0</v>
      </c>
      <c r="AJ224" s="83">
        <f t="shared" si="240"/>
        <v>0</v>
      </c>
      <c r="AK224" s="83">
        <f t="shared" si="240"/>
        <v>0</v>
      </c>
      <c r="AL224" s="83">
        <f t="shared" si="240"/>
        <v>0</v>
      </c>
      <c r="AM224" s="83">
        <f t="shared" si="240"/>
        <v>0</v>
      </c>
      <c r="AN224" s="83">
        <f t="shared" si="240"/>
        <v>0</v>
      </c>
      <c r="AO224" s="83">
        <f t="shared" si="240"/>
        <v>0</v>
      </c>
      <c r="AP224" s="83">
        <f t="shared" si="240"/>
        <v>0</v>
      </c>
      <c r="AQ224" s="83">
        <f t="shared" si="240"/>
        <v>0.93249549601725257</v>
      </c>
      <c r="AR224" s="83">
        <f t="shared" si="240"/>
        <v>198.91720995529002</v>
      </c>
      <c r="AS224" s="83">
        <f t="shared" si="240"/>
        <v>0</v>
      </c>
      <c r="AT224" s="83">
        <f t="shared" si="240"/>
        <v>111.69476538879823</v>
      </c>
      <c r="AU224" s="83">
        <f t="shared" si="240"/>
        <v>0</v>
      </c>
      <c r="AV224" s="83">
        <f t="shared" si="240"/>
        <v>0</v>
      </c>
      <c r="AW224" s="83">
        <f t="shared" si="240"/>
        <v>262.00849058826219</v>
      </c>
      <c r="AX224" s="83">
        <f t="shared" si="240"/>
        <v>0</v>
      </c>
      <c r="AY224" s="83">
        <f t="shared" si="240"/>
        <v>0</v>
      </c>
      <c r="AZ224" s="83">
        <f t="shared" si="240"/>
        <v>42.007784905947943</v>
      </c>
      <c r="BA224" s="83">
        <f t="shared" si="240"/>
        <v>0</v>
      </c>
      <c r="BB224" s="83">
        <f t="shared" si="240"/>
        <v>0</v>
      </c>
      <c r="BC224" s="83">
        <f t="shared" si="240"/>
        <v>0</v>
      </c>
      <c r="BD224" s="83">
        <f t="shared" si="240"/>
        <v>0</v>
      </c>
      <c r="BE224" s="83">
        <f t="shared" si="240"/>
        <v>0</v>
      </c>
      <c r="BF224" s="83">
        <f t="shared" si="240"/>
        <v>0</v>
      </c>
      <c r="BG224" s="83">
        <f t="shared" si="240"/>
        <v>0</v>
      </c>
      <c r="BH224" s="83">
        <f t="shared" si="240"/>
        <v>217.40791332753457</v>
      </c>
      <c r="BI224" s="83">
        <f t="shared" si="240"/>
        <v>0</v>
      </c>
      <c r="BJ224" s="83">
        <f t="shared" si="240"/>
        <v>91.270839646761829</v>
      </c>
      <c r="BK224" s="83">
        <f t="shared" si="240"/>
        <v>88.10945247733747</v>
      </c>
      <c r="BL224" s="83">
        <f t="shared" si="240"/>
        <v>0</v>
      </c>
      <c r="BM224" s="83">
        <f t="shared" si="240"/>
        <v>0</v>
      </c>
      <c r="BN224" s="83">
        <f t="shared" si="240"/>
        <v>0</v>
      </c>
      <c r="BO224" s="83">
        <f t="shared" si="240"/>
        <v>836.03907166093131</v>
      </c>
      <c r="BP224" s="83">
        <f t="shared" si="240"/>
        <v>73.007574200375146</v>
      </c>
      <c r="BQ224" s="83">
        <f t="shared" ref="BQ224:BZ224" si="242">BQ221+BQ223</f>
        <v>64.819808869491951</v>
      </c>
      <c r="BR224" s="83">
        <f t="shared" si="242"/>
        <v>57.723745582726515</v>
      </c>
      <c r="BS224" s="83">
        <f t="shared" si="242"/>
        <v>222.75270458519444</v>
      </c>
      <c r="BT224" s="83">
        <f t="shared" si="242"/>
        <v>232.62351056742583</v>
      </c>
      <c r="BU224" s="83">
        <f t="shared" si="242"/>
        <v>0</v>
      </c>
      <c r="BV224" s="83">
        <f t="shared" si="242"/>
        <v>0</v>
      </c>
      <c r="BW224" s="83">
        <f t="shared" si="242"/>
        <v>0</v>
      </c>
      <c r="BX224" s="83">
        <f t="shared" si="242"/>
        <v>0</v>
      </c>
      <c r="BY224" s="83">
        <f t="shared" si="242"/>
        <v>0</v>
      </c>
      <c r="BZ224" s="83">
        <f t="shared" si="242"/>
        <v>0</v>
      </c>
      <c r="CA224" s="83" t="e">
        <f t="shared" si="215"/>
        <v>#DIV/0!</v>
      </c>
    </row>
    <row r="225" spans="1:81">
      <c r="CA225" s="83"/>
    </row>
    <row r="226" spans="1:81">
      <c r="A226" t="s">
        <v>175</v>
      </c>
      <c r="C226" s="83">
        <v>4051.6904</v>
      </c>
      <c r="D226" s="83">
        <v>2324.8748000000001</v>
      </c>
      <c r="E226" s="83">
        <v>302.77879999999999</v>
      </c>
      <c r="F226" s="83">
        <v>399.43400000000003</v>
      </c>
      <c r="G226" s="83">
        <v>0</v>
      </c>
      <c r="H226" s="83">
        <v>429.71600000000001</v>
      </c>
      <c r="I226" s="83">
        <v>858.21660000000008</v>
      </c>
      <c r="J226" s="83">
        <v>2094.9582</v>
      </c>
      <c r="K226" s="83">
        <v>437.89420000000001</v>
      </c>
      <c r="L226" s="83">
        <v>106.3372</v>
      </c>
      <c r="M226" s="83">
        <v>418.7774</v>
      </c>
      <c r="N226" s="83">
        <v>1204.9146000000001</v>
      </c>
      <c r="O226" s="83">
        <v>155.5506</v>
      </c>
      <c r="P226" s="83">
        <v>8.6107999999999993</v>
      </c>
      <c r="Q226" s="83">
        <v>12.669</v>
      </c>
      <c r="R226" s="83">
        <v>12.669</v>
      </c>
      <c r="S226" s="83">
        <v>9.4553999999999991</v>
      </c>
      <c r="T226" s="83">
        <v>0</v>
      </c>
      <c r="U226" s="83">
        <v>382.17120000000006</v>
      </c>
      <c r="V226" s="83">
        <v>0</v>
      </c>
      <c r="W226" s="83">
        <v>0</v>
      </c>
      <c r="X226" s="83">
        <v>801.31940000000009</v>
      </c>
      <c r="Y226" s="83">
        <v>0</v>
      </c>
      <c r="Z226" s="83">
        <v>209.19300000000001</v>
      </c>
      <c r="AA226" s="83">
        <v>183.46360000000001</v>
      </c>
      <c r="AB226" s="83">
        <v>1348.3524</v>
      </c>
      <c r="AC226" s="83">
        <v>0</v>
      </c>
      <c r="AD226" s="83">
        <v>0</v>
      </c>
      <c r="AE226" s="83">
        <v>0</v>
      </c>
      <c r="AF226" s="83">
        <v>0</v>
      </c>
      <c r="AG226" s="83">
        <v>1299.6746000000001</v>
      </c>
      <c r="AH226" s="83">
        <v>576.67640000000006</v>
      </c>
      <c r="AI226" s="83">
        <v>0</v>
      </c>
      <c r="AJ226" s="83">
        <v>0</v>
      </c>
      <c r="AK226" s="83">
        <v>0</v>
      </c>
      <c r="AL226" s="83">
        <v>0</v>
      </c>
      <c r="AM226" s="83">
        <v>0</v>
      </c>
      <c r="AN226" s="83">
        <v>0</v>
      </c>
      <c r="AO226" s="83">
        <v>0</v>
      </c>
      <c r="AP226" s="83">
        <v>0</v>
      </c>
      <c r="AQ226" s="83">
        <v>4.7174000000000005</v>
      </c>
      <c r="AR226" s="83">
        <v>185.89439999999999</v>
      </c>
      <c r="AS226" s="83">
        <v>0</v>
      </c>
      <c r="AT226" s="83">
        <v>103.94760000000001</v>
      </c>
      <c r="AU226" s="83">
        <v>0</v>
      </c>
      <c r="AV226" s="83">
        <v>0</v>
      </c>
      <c r="AW226" s="83">
        <v>244.76919999999998</v>
      </c>
      <c r="AX226" s="83">
        <v>0</v>
      </c>
      <c r="AY226" s="83">
        <v>0</v>
      </c>
      <c r="AZ226" s="83">
        <v>38.769200000000005</v>
      </c>
      <c r="BA226" s="83">
        <v>32.6098</v>
      </c>
      <c r="BB226" s="83">
        <v>0</v>
      </c>
      <c r="BC226" s="83">
        <v>0</v>
      </c>
      <c r="BD226" s="83">
        <v>0</v>
      </c>
      <c r="BE226" s="83">
        <v>0</v>
      </c>
      <c r="BF226" s="83">
        <v>0</v>
      </c>
      <c r="BG226" s="83">
        <v>0</v>
      </c>
      <c r="BH226" s="83">
        <v>326.96320000000003</v>
      </c>
      <c r="BI226" s="83">
        <v>0</v>
      </c>
      <c r="BJ226" s="83">
        <v>73.912800000000004</v>
      </c>
      <c r="BK226" s="83">
        <v>111.858</v>
      </c>
      <c r="BL226" s="83">
        <v>0</v>
      </c>
      <c r="BM226" s="83">
        <v>0</v>
      </c>
      <c r="BN226" s="83">
        <v>0</v>
      </c>
      <c r="BO226" s="83">
        <v>0</v>
      </c>
      <c r="BP226" s="83">
        <v>68.082999999999998</v>
      </c>
      <c r="BQ226" s="83">
        <v>62.562200000000004</v>
      </c>
      <c r="BR226" s="83">
        <v>51.747200000000007</v>
      </c>
      <c r="BS226" s="83">
        <v>207.93639999999999</v>
      </c>
      <c r="BT226" s="83">
        <v>217.2064</v>
      </c>
      <c r="BU226" s="83">
        <v>0</v>
      </c>
      <c r="BV226" s="83">
        <v>0</v>
      </c>
      <c r="BW226" s="83">
        <v>0</v>
      </c>
      <c r="BX226" s="83">
        <v>0</v>
      </c>
      <c r="BY226" s="83">
        <v>0</v>
      </c>
      <c r="BZ226" s="83">
        <v>0</v>
      </c>
      <c r="CA226" s="83">
        <f t="shared" si="215"/>
        <v>19360.374399999993</v>
      </c>
      <c r="CB226" s="83">
        <v>2155.12</v>
      </c>
      <c r="CC226" s="83">
        <f>SUM(CA226:CB226)</f>
        <v>21515.494399999992</v>
      </c>
    </row>
    <row r="227" spans="1:81">
      <c r="A227" t="s">
        <v>175</v>
      </c>
      <c r="C227" s="77">
        <f t="shared" ref="C227:AD227" si="243">C226/$CA$226</f>
        <v>0.20927748174126226</v>
      </c>
      <c r="D227" s="77">
        <f t="shared" si="243"/>
        <v>0.12008418597524648</v>
      </c>
      <c r="E227" s="77">
        <f t="shared" si="243"/>
        <v>1.5639098384378356E-2</v>
      </c>
      <c r="F227" s="77">
        <f t="shared" si="243"/>
        <v>2.0631522497829388E-2</v>
      </c>
      <c r="G227" s="77">
        <f t="shared" si="243"/>
        <v>0</v>
      </c>
      <c r="H227" s="77">
        <f t="shared" si="243"/>
        <v>2.2195645142069162E-2</v>
      </c>
      <c r="I227" s="77">
        <f t="shared" si="243"/>
        <v>4.43285125725668E-2</v>
      </c>
      <c r="J227" s="77">
        <f t="shared" si="243"/>
        <v>0.10820855819813076</v>
      </c>
      <c r="K227" s="77">
        <f t="shared" si="243"/>
        <v>2.2618064658914867E-2</v>
      </c>
      <c r="L227" s="77">
        <f t="shared" si="243"/>
        <v>5.4925177480038834E-3</v>
      </c>
      <c r="M227" s="77">
        <f t="shared" si="243"/>
        <v>2.1630645737925405E-2</v>
      </c>
      <c r="N227" s="77">
        <f t="shared" si="243"/>
        <v>6.2236120805597671E-2</v>
      </c>
      <c r="O227" s="77">
        <f t="shared" si="243"/>
        <v>8.0344830521459371E-3</v>
      </c>
      <c r="P227" s="77">
        <f t="shared" si="243"/>
        <v>4.4476412604913272E-4</v>
      </c>
      <c r="Q227" s="77">
        <f t="shared" si="243"/>
        <v>6.5437784095745616E-4</v>
      </c>
      <c r="R227" s="77">
        <f t="shared" si="243"/>
        <v>6.5437784095745616E-4</v>
      </c>
      <c r="S227" s="77">
        <f t="shared" si="243"/>
        <v>4.8838931544629646E-4</v>
      </c>
      <c r="T227" s="77">
        <f t="shared" si="243"/>
        <v>0</v>
      </c>
      <c r="U227" s="77">
        <f t="shared" si="243"/>
        <v>1.9739866187711751E-2</v>
      </c>
      <c r="V227" s="77">
        <f t="shared" si="243"/>
        <v>0</v>
      </c>
      <c r="W227" s="77">
        <f t="shared" si="243"/>
        <v>0</v>
      </c>
      <c r="X227" s="77">
        <f t="shared" si="243"/>
        <v>4.1389664447811524E-2</v>
      </c>
      <c r="Y227" s="77">
        <f t="shared" si="243"/>
        <v>0</v>
      </c>
      <c r="Z227" s="77">
        <f t="shared" si="243"/>
        <v>1.0805214593370678E-2</v>
      </c>
      <c r="AA227" s="77">
        <f t="shared" si="243"/>
        <v>9.4762423602717145E-3</v>
      </c>
      <c r="AB227" s="77">
        <f t="shared" si="243"/>
        <v>6.964495480004769E-2</v>
      </c>
      <c r="AC227" s="77">
        <f t="shared" si="243"/>
        <v>0</v>
      </c>
      <c r="AD227" s="77">
        <f t="shared" si="243"/>
        <v>0</v>
      </c>
      <c r="AE227" s="77" t="e">
        <f>AE226/$BI$226</f>
        <v>#DIV/0!</v>
      </c>
      <c r="AF227" s="77">
        <f t="shared" ref="AF227:BP227" si="244">AF226/$CA$226</f>
        <v>0</v>
      </c>
      <c r="AG227" s="77">
        <f t="shared" si="244"/>
        <v>6.7130654250157504E-2</v>
      </c>
      <c r="AH227" s="77">
        <f t="shared" si="244"/>
        <v>2.9786428097175653E-2</v>
      </c>
      <c r="AI227" s="77">
        <f t="shared" si="244"/>
        <v>0</v>
      </c>
      <c r="AJ227" s="77">
        <f t="shared" si="244"/>
        <v>0</v>
      </c>
      <c r="AK227" s="77">
        <f t="shared" si="244"/>
        <v>0</v>
      </c>
      <c r="AL227" s="77">
        <f t="shared" si="244"/>
        <v>0</v>
      </c>
      <c r="AM227" s="77">
        <f t="shared" si="244"/>
        <v>0</v>
      </c>
      <c r="AN227" s="77">
        <f t="shared" si="244"/>
        <v>0</v>
      </c>
      <c r="AO227" s="77">
        <f t="shared" si="244"/>
        <v>0</v>
      </c>
      <c r="AP227" s="77">
        <f t="shared" si="244"/>
        <v>0</v>
      </c>
      <c r="AQ227" s="77">
        <f t="shared" si="244"/>
        <v>2.436626432183048E-4</v>
      </c>
      <c r="AR227" s="77">
        <f t="shared" si="244"/>
        <v>9.6017977834147693E-3</v>
      </c>
      <c r="AS227" s="77">
        <f t="shared" si="244"/>
        <v>0</v>
      </c>
      <c r="AT227" s="77">
        <f t="shared" si="244"/>
        <v>5.3690903828802015E-3</v>
      </c>
      <c r="AU227" s="77">
        <f t="shared" si="244"/>
        <v>0</v>
      </c>
      <c r="AV227" s="77">
        <f t="shared" si="244"/>
        <v>0</v>
      </c>
      <c r="AW227" s="77">
        <f t="shared" si="244"/>
        <v>1.2642792693099989E-2</v>
      </c>
      <c r="AX227" s="77">
        <f t="shared" si="244"/>
        <v>0</v>
      </c>
      <c r="AY227" s="77">
        <f t="shared" si="244"/>
        <v>0</v>
      </c>
      <c r="AZ227" s="77">
        <f t="shared" si="244"/>
        <v>2.0025025962307846E-3</v>
      </c>
      <c r="BA227" s="77">
        <f t="shared" si="244"/>
        <v>1.6843579223343951E-3</v>
      </c>
      <c r="BB227" s="77">
        <f t="shared" si="244"/>
        <v>0</v>
      </c>
      <c r="BC227" s="77">
        <f t="shared" si="244"/>
        <v>0</v>
      </c>
      <c r="BD227" s="77">
        <f t="shared" si="244"/>
        <v>0</v>
      </c>
      <c r="BE227" s="77">
        <f t="shared" si="244"/>
        <v>0</v>
      </c>
      <c r="BF227" s="77">
        <f t="shared" si="244"/>
        <v>0</v>
      </c>
      <c r="BG227" s="77">
        <f t="shared" si="244"/>
        <v>0</v>
      </c>
      <c r="BH227" s="77">
        <f t="shared" si="244"/>
        <v>1.6888268441750804E-2</v>
      </c>
      <c r="BI227" s="77">
        <f t="shared" si="244"/>
        <v>0</v>
      </c>
      <c r="BJ227" s="77">
        <f t="shared" si="244"/>
        <v>3.8177360867566708E-3</v>
      </c>
      <c r="BK227" s="77">
        <f t="shared" si="244"/>
        <v>5.7776775225999782E-3</v>
      </c>
      <c r="BL227" s="77">
        <f t="shared" si="244"/>
        <v>0</v>
      </c>
      <c r="BM227" s="77">
        <f t="shared" si="244"/>
        <v>0</v>
      </c>
      <c r="BN227" s="77">
        <f t="shared" si="244"/>
        <v>0</v>
      </c>
      <c r="BO227" s="77">
        <f t="shared" si="244"/>
        <v>0</v>
      </c>
      <c r="BP227" s="77">
        <f t="shared" si="244"/>
        <v>3.5166158770152719E-3</v>
      </c>
      <c r="BQ227" s="77">
        <f t="shared" ref="BQ227:BZ227" si="245">BQ226/$CA$226</f>
        <v>3.2314561024191775E-3</v>
      </c>
      <c r="BR227" s="77">
        <f t="shared" si="245"/>
        <v>2.6728408723335445E-3</v>
      </c>
      <c r="BS227" s="77">
        <f t="shared" si="245"/>
        <v>1.0740308823779774E-2</v>
      </c>
      <c r="BT227" s="77">
        <f t="shared" si="245"/>
        <v>1.121912187813889E-2</v>
      </c>
      <c r="BU227" s="77">
        <f t="shared" si="245"/>
        <v>0</v>
      </c>
      <c r="BV227" s="77">
        <f t="shared" si="245"/>
        <v>0</v>
      </c>
      <c r="BW227" s="77">
        <f t="shared" si="245"/>
        <v>0</v>
      </c>
      <c r="BX227" s="77">
        <f t="shared" si="245"/>
        <v>0</v>
      </c>
      <c r="BY227" s="77">
        <f t="shared" si="245"/>
        <v>0</v>
      </c>
      <c r="BZ227" s="77">
        <f t="shared" si="245"/>
        <v>0</v>
      </c>
      <c r="CA227" s="77" t="e">
        <f t="shared" si="215"/>
        <v>#DIV/0!</v>
      </c>
    </row>
    <row r="228" spans="1:81">
      <c r="A228" t="s">
        <v>175</v>
      </c>
      <c r="C228" s="83">
        <f t="shared" ref="C228:AD228" si="246">$CB$226*C227</f>
        <v>451.01808645022908</v>
      </c>
      <c r="D228" s="83">
        <f t="shared" si="246"/>
        <v>258.79583087897316</v>
      </c>
      <c r="E228" s="83">
        <f t="shared" si="246"/>
        <v>33.704133710141484</v>
      </c>
      <c r="F228" s="83">
        <f t="shared" si="246"/>
        <v>44.463406765522066</v>
      </c>
      <c r="G228" s="83">
        <f t="shared" si="246"/>
        <v>0</v>
      </c>
      <c r="H228" s="83">
        <f t="shared" si="246"/>
        <v>47.83427875857609</v>
      </c>
      <c r="I228" s="83">
        <f t="shared" si="246"/>
        <v>95.533264015390159</v>
      </c>
      <c r="J228" s="83">
        <f t="shared" si="246"/>
        <v>233.20242794395554</v>
      </c>
      <c r="K228" s="83">
        <f t="shared" si="246"/>
        <v>48.744643507720603</v>
      </c>
      <c r="L228" s="83">
        <f t="shared" si="246"/>
        <v>11.837034849078128</v>
      </c>
      <c r="M228" s="83">
        <f t="shared" si="246"/>
        <v>46.6166372427178</v>
      </c>
      <c r="N228" s="83">
        <f t="shared" si="246"/>
        <v>134.12630867055964</v>
      </c>
      <c r="O228" s="83">
        <f t="shared" si="246"/>
        <v>17.31527511534075</v>
      </c>
      <c r="P228" s="83">
        <f t="shared" si="246"/>
        <v>0.95852006333100681</v>
      </c>
      <c r="Q228" s="83">
        <f t="shared" si="246"/>
        <v>1.4102627726042329</v>
      </c>
      <c r="R228" s="83">
        <f t="shared" si="246"/>
        <v>1.4102627726042329</v>
      </c>
      <c r="S228" s="83">
        <f t="shared" si="246"/>
        <v>1.0525375815046223</v>
      </c>
      <c r="T228" s="83">
        <f t="shared" si="246"/>
        <v>0</v>
      </c>
      <c r="U228" s="83">
        <f t="shared" si="246"/>
        <v>42.541780418461343</v>
      </c>
      <c r="V228" s="83">
        <f t="shared" si="246"/>
        <v>0</v>
      </c>
      <c r="W228" s="83">
        <f t="shared" si="246"/>
        <v>0</v>
      </c>
      <c r="X228" s="83">
        <f t="shared" si="246"/>
        <v>89.199693644767564</v>
      </c>
      <c r="Y228" s="83">
        <f t="shared" si="246"/>
        <v>0</v>
      </c>
      <c r="Z228" s="83">
        <f t="shared" si="246"/>
        <v>23.286534074465013</v>
      </c>
      <c r="AA228" s="83">
        <f t="shared" si="246"/>
        <v>20.422439435468778</v>
      </c>
      <c r="AB228" s="83">
        <f t="shared" si="246"/>
        <v>150.09323498867877</v>
      </c>
      <c r="AC228" s="83">
        <f t="shared" si="246"/>
        <v>0</v>
      </c>
      <c r="AD228" s="83">
        <f t="shared" si="246"/>
        <v>0</v>
      </c>
      <c r="AE228" s="83" t="e">
        <f>$BJ$226*AE227</f>
        <v>#DIV/0!</v>
      </c>
      <c r="AF228" s="83">
        <f t="shared" ref="AF228:BP228" si="247">$CB$226*AF227</f>
        <v>0</v>
      </c>
      <c r="AG228" s="83">
        <f t="shared" si="247"/>
        <v>144.67461558759942</v>
      </c>
      <c r="AH228" s="83">
        <f t="shared" si="247"/>
        <v>64.193326920785196</v>
      </c>
      <c r="AI228" s="83">
        <f t="shared" si="247"/>
        <v>0</v>
      </c>
      <c r="AJ228" s="83">
        <f t="shared" si="247"/>
        <v>0</v>
      </c>
      <c r="AK228" s="83">
        <f t="shared" si="247"/>
        <v>0</v>
      </c>
      <c r="AL228" s="83">
        <f t="shared" si="247"/>
        <v>0</v>
      </c>
      <c r="AM228" s="83">
        <f t="shared" si="247"/>
        <v>0</v>
      </c>
      <c r="AN228" s="83">
        <f t="shared" si="247"/>
        <v>0</v>
      </c>
      <c r="AO228" s="83">
        <f t="shared" si="247"/>
        <v>0</v>
      </c>
      <c r="AP228" s="83">
        <f t="shared" si="247"/>
        <v>0</v>
      </c>
      <c r="AQ228" s="83">
        <f t="shared" si="247"/>
        <v>0.52512223565263305</v>
      </c>
      <c r="AR228" s="83">
        <f t="shared" si="247"/>
        <v>20.693026438992838</v>
      </c>
      <c r="AS228" s="83">
        <f t="shared" si="247"/>
        <v>0</v>
      </c>
      <c r="AT228" s="83">
        <f t="shared" si="247"/>
        <v>11.571034065952778</v>
      </c>
      <c r="AU228" s="83">
        <f t="shared" si="247"/>
        <v>0</v>
      </c>
      <c r="AV228" s="83">
        <f t="shared" si="247"/>
        <v>0</v>
      </c>
      <c r="AW228" s="83">
        <f t="shared" si="247"/>
        <v>27.246735388753645</v>
      </c>
      <c r="AX228" s="83">
        <f t="shared" si="247"/>
        <v>0</v>
      </c>
      <c r="AY228" s="83">
        <f t="shared" si="247"/>
        <v>0</v>
      </c>
      <c r="AZ228" s="83">
        <f t="shared" si="247"/>
        <v>4.3156333951888879</v>
      </c>
      <c r="BA228" s="83">
        <f t="shared" si="247"/>
        <v>3.6299934455813014</v>
      </c>
      <c r="BB228" s="83">
        <f t="shared" si="247"/>
        <v>0</v>
      </c>
      <c r="BC228" s="83">
        <f t="shared" si="247"/>
        <v>0</v>
      </c>
      <c r="BD228" s="83">
        <f t="shared" si="247"/>
        <v>0</v>
      </c>
      <c r="BE228" s="83">
        <f t="shared" si="247"/>
        <v>0</v>
      </c>
      <c r="BF228" s="83">
        <f t="shared" si="247"/>
        <v>0</v>
      </c>
      <c r="BG228" s="83">
        <f t="shared" si="247"/>
        <v>0</v>
      </c>
      <c r="BH228" s="83">
        <f t="shared" si="247"/>
        <v>36.396245084185992</v>
      </c>
      <c r="BI228" s="83">
        <f t="shared" si="247"/>
        <v>0</v>
      </c>
      <c r="BJ228" s="83">
        <f t="shared" si="247"/>
        <v>8.2276793952910356</v>
      </c>
      <c r="BK228" s="83">
        <f t="shared" si="247"/>
        <v>12.451588382505664</v>
      </c>
      <c r="BL228" s="83">
        <f t="shared" si="247"/>
        <v>0</v>
      </c>
      <c r="BM228" s="83">
        <f t="shared" si="247"/>
        <v>0</v>
      </c>
      <c r="BN228" s="83">
        <f t="shared" si="247"/>
        <v>0</v>
      </c>
      <c r="BO228" s="83">
        <f t="shared" si="247"/>
        <v>0</v>
      </c>
      <c r="BP228" s="83">
        <f t="shared" si="247"/>
        <v>7.5787292088731526</v>
      </c>
      <c r="BQ228" s="83">
        <f t="shared" ref="BQ228:BZ228" si="248">$CB$226*BQ227</f>
        <v>6.9641756754456177</v>
      </c>
      <c r="BR228" s="83">
        <f t="shared" si="248"/>
        <v>5.7602928207834685</v>
      </c>
      <c r="BS228" s="83">
        <f t="shared" si="248"/>
        <v>23.146654352304264</v>
      </c>
      <c r="BT228" s="83">
        <f t="shared" si="248"/>
        <v>24.178553942014684</v>
      </c>
      <c r="BU228" s="83">
        <f t="shared" si="248"/>
        <v>0</v>
      </c>
      <c r="BV228" s="83">
        <f t="shared" si="248"/>
        <v>0</v>
      </c>
      <c r="BW228" s="83">
        <f t="shared" si="248"/>
        <v>0</v>
      </c>
      <c r="BX228" s="83">
        <f t="shared" si="248"/>
        <v>0</v>
      </c>
      <c r="BY228" s="83">
        <f t="shared" si="248"/>
        <v>0</v>
      </c>
      <c r="BZ228" s="83">
        <f t="shared" si="248"/>
        <v>0</v>
      </c>
      <c r="CA228" s="83" t="e">
        <f t="shared" si="215"/>
        <v>#DIV/0!</v>
      </c>
    </row>
    <row r="229" spans="1:81">
      <c r="A229" t="s">
        <v>175</v>
      </c>
      <c r="C229" s="83">
        <f>C226+C228</f>
        <v>4502.7084864502294</v>
      </c>
      <c r="D229" s="83">
        <f t="shared" ref="D229:BP229" si="249">D226+D228</f>
        <v>2583.670630878973</v>
      </c>
      <c r="E229" s="83">
        <f t="shared" si="249"/>
        <v>336.48293371014148</v>
      </c>
      <c r="F229" s="83">
        <f t="shared" si="249"/>
        <v>443.89740676552208</v>
      </c>
      <c r="G229" s="83">
        <f t="shared" si="249"/>
        <v>0</v>
      </c>
      <c r="H229" s="83">
        <f t="shared" si="249"/>
        <v>477.5502787585761</v>
      </c>
      <c r="I229" s="83">
        <f t="shared" si="249"/>
        <v>953.74986401539024</v>
      </c>
      <c r="J229" s="83">
        <f t="shared" si="249"/>
        <v>2328.1606279439557</v>
      </c>
      <c r="K229" s="83">
        <f t="shared" si="249"/>
        <v>486.63884350772059</v>
      </c>
      <c r="L229" s="83">
        <f t="shared" si="249"/>
        <v>118.17423484907812</v>
      </c>
      <c r="M229" s="83">
        <f t="shared" si="249"/>
        <v>465.39403724271779</v>
      </c>
      <c r="N229" s="83">
        <f t="shared" si="249"/>
        <v>1339.0409086705597</v>
      </c>
      <c r="O229" s="83">
        <f t="shared" si="249"/>
        <v>172.86587511534074</v>
      </c>
      <c r="P229" s="83">
        <f t="shared" si="249"/>
        <v>9.5693200633310056</v>
      </c>
      <c r="Q229" s="83">
        <f t="shared" si="249"/>
        <v>14.079262772604233</v>
      </c>
      <c r="R229" s="83">
        <f t="shared" si="249"/>
        <v>14.079262772604233</v>
      </c>
      <c r="S229" s="83">
        <f t="shared" si="249"/>
        <v>10.507937581504621</v>
      </c>
      <c r="T229" s="83">
        <f t="shared" si="249"/>
        <v>0</v>
      </c>
      <c r="U229" s="83">
        <f t="shared" si="249"/>
        <v>424.71298041846137</v>
      </c>
      <c r="V229" s="83">
        <f t="shared" si="249"/>
        <v>0</v>
      </c>
      <c r="W229" s="83">
        <f t="shared" si="249"/>
        <v>0</v>
      </c>
      <c r="X229" s="83">
        <f t="shared" si="249"/>
        <v>890.51909364476762</v>
      </c>
      <c r="Y229" s="83">
        <f t="shared" si="249"/>
        <v>0</v>
      </c>
      <c r="Z229" s="83">
        <f t="shared" si="249"/>
        <v>232.47953407446502</v>
      </c>
      <c r="AA229" s="83">
        <f t="shared" si="249"/>
        <v>203.8860394354688</v>
      </c>
      <c r="AB229" s="83">
        <f t="shared" si="249"/>
        <v>1498.4456349886786</v>
      </c>
      <c r="AC229" s="83">
        <f t="shared" si="249"/>
        <v>0</v>
      </c>
      <c r="AD229" s="83">
        <f t="shared" si="249"/>
        <v>0</v>
      </c>
      <c r="AE229" s="83" t="e">
        <f t="shared" ref="AE229" si="250">AE226+AE228</f>
        <v>#DIV/0!</v>
      </c>
      <c r="AF229" s="83">
        <f t="shared" si="249"/>
        <v>0</v>
      </c>
      <c r="AG229" s="83">
        <f t="shared" si="249"/>
        <v>1444.3492155875995</v>
      </c>
      <c r="AH229" s="83">
        <f t="shared" si="249"/>
        <v>640.8697269207853</v>
      </c>
      <c r="AI229" s="83">
        <f t="shared" si="249"/>
        <v>0</v>
      </c>
      <c r="AJ229" s="83">
        <f t="shared" si="249"/>
        <v>0</v>
      </c>
      <c r="AK229" s="83">
        <f t="shared" si="249"/>
        <v>0</v>
      </c>
      <c r="AL229" s="83">
        <f t="shared" si="249"/>
        <v>0</v>
      </c>
      <c r="AM229" s="83">
        <f t="shared" si="249"/>
        <v>0</v>
      </c>
      <c r="AN229" s="83">
        <f t="shared" si="249"/>
        <v>0</v>
      </c>
      <c r="AO229" s="83">
        <f t="shared" si="249"/>
        <v>0</v>
      </c>
      <c r="AP229" s="83">
        <f t="shared" si="249"/>
        <v>0</v>
      </c>
      <c r="AQ229" s="83">
        <f t="shared" si="249"/>
        <v>5.2425222356526335</v>
      </c>
      <c r="AR229" s="83">
        <f t="shared" si="249"/>
        <v>206.58742643899282</v>
      </c>
      <c r="AS229" s="83">
        <f t="shared" si="249"/>
        <v>0</v>
      </c>
      <c r="AT229" s="83">
        <f t="shared" si="249"/>
        <v>115.51863406595278</v>
      </c>
      <c r="AU229" s="83">
        <f t="shared" si="249"/>
        <v>0</v>
      </c>
      <c r="AV229" s="83">
        <f t="shared" si="249"/>
        <v>0</v>
      </c>
      <c r="AW229" s="83">
        <f t="shared" si="249"/>
        <v>272.01593538875363</v>
      </c>
      <c r="AX229" s="83">
        <f t="shared" si="249"/>
        <v>0</v>
      </c>
      <c r="AY229" s="83">
        <f t="shared" si="249"/>
        <v>0</v>
      </c>
      <c r="AZ229" s="83">
        <f t="shared" si="249"/>
        <v>43.084833395188895</v>
      </c>
      <c r="BA229" s="83">
        <f t="shared" si="249"/>
        <v>36.239793445581299</v>
      </c>
      <c r="BB229" s="83">
        <f t="shared" si="249"/>
        <v>0</v>
      </c>
      <c r="BC229" s="83">
        <f t="shared" si="249"/>
        <v>0</v>
      </c>
      <c r="BD229" s="83">
        <f t="shared" si="249"/>
        <v>0</v>
      </c>
      <c r="BE229" s="83">
        <f t="shared" si="249"/>
        <v>0</v>
      </c>
      <c r="BF229" s="83">
        <f t="shared" si="249"/>
        <v>0</v>
      </c>
      <c r="BG229" s="83">
        <f t="shared" si="249"/>
        <v>0</v>
      </c>
      <c r="BH229" s="83">
        <f t="shared" si="249"/>
        <v>363.35944508418601</v>
      </c>
      <c r="BI229" s="83">
        <f t="shared" si="249"/>
        <v>0</v>
      </c>
      <c r="BJ229" s="83">
        <f t="shared" si="249"/>
        <v>82.140479395291038</v>
      </c>
      <c r="BK229" s="83">
        <f t="shared" si="249"/>
        <v>124.30958838250567</v>
      </c>
      <c r="BL229" s="83">
        <f t="shared" si="249"/>
        <v>0</v>
      </c>
      <c r="BM229" s="83">
        <f t="shared" si="249"/>
        <v>0</v>
      </c>
      <c r="BN229" s="83">
        <f t="shared" si="249"/>
        <v>0</v>
      </c>
      <c r="BO229" s="83">
        <f t="shared" si="249"/>
        <v>0</v>
      </c>
      <c r="BP229" s="83">
        <f t="shared" si="249"/>
        <v>75.661729208873155</v>
      </c>
      <c r="BQ229" s="83">
        <f t="shared" ref="BQ229:BZ229" si="251">BQ226+BQ228</f>
        <v>69.526375675445621</v>
      </c>
      <c r="BR229" s="83">
        <f t="shared" si="251"/>
        <v>57.507492820783476</v>
      </c>
      <c r="BS229" s="83">
        <f t="shared" si="251"/>
        <v>231.08305435230426</v>
      </c>
      <c r="BT229" s="83">
        <f t="shared" si="251"/>
        <v>241.38495394201468</v>
      </c>
      <c r="BU229" s="83">
        <f t="shared" si="251"/>
        <v>0</v>
      </c>
      <c r="BV229" s="83">
        <f t="shared" si="251"/>
        <v>0</v>
      </c>
      <c r="BW229" s="83">
        <f t="shared" si="251"/>
        <v>0</v>
      </c>
      <c r="BX229" s="83">
        <f t="shared" si="251"/>
        <v>0</v>
      </c>
      <c r="BY229" s="83">
        <f t="shared" si="251"/>
        <v>0</v>
      </c>
      <c r="BZ229" s="83">
        <f t="shared" si="251"/>
        <v>0</v>
      </c>
      <c r="CA229" s="83" t="e">
        <f t="shared" si="215"/>
        <v>#DIV/0!</v>
      </c>
    </row>
    <row r="230" spans="1:81">
      <c r="CA230" s="83"/>
    </row>
    <row r="231" spans="1:81">
      <c r="A231" t="s">
        <v>179</v>
      </c>
      <c r="C231" s="83">
        <v>1829.28</v>
      </c>
      <c r="D231" s="83">
        <v>0</v>
      </c>
      <c r="E231" s="83">
        <v>0</v>
      </c>
      <c r="F231" s="83">
        <v>0</v>
      </c>
      <c r="G231" s="83">
        <v>0</v>
      </c>
      <c r="H231" s="83">
        <v>0</v>
      </c>
      <c r="I231" s="83">
        <v>69.998799999999989</v>
      </c>
      <c r="J231" s="83">
        <v>0</v>
      </c>
      <c r="K231" s="83">
        <v>0</v>
      </c>
      <c r="L231" s="83">
        <v>0</v>
      </c>
      <c r="M231" s="83">
        <v>0</v>
      </c>
      <c r="N231" s="83">
        <v>69.998799999999989</v>
      </c>
      <c r="O231" s="83">
        <v>0</v>
      </c>
      <c r="P231" s="83">
        <v>0</v>
      </c>
      <c r="Q231" s="83">
        <v>0</v>
      </c>
      <c r="R231" s="83">
        <v>0</v>
      </c>
      <c r="S231" s="83">
        <v>0</v>
      </c>
      <c r="T231" s="83">
        <v>0</v>
      </c>
      <c r="U231" s="83">
        <v>0</v>
      </c>
      <c r="V231" s="83">
        <v>0</v>
      </c>
      <c r="W231" s="83">
        <v>0</v>
      </c>
      <c r="X231" s="83">
        <v>0</v>
      </c>
      <c r="Y231" s="83">
        <v>0</v>
      </c>
      <c r="Z231" s="83">
        <v>0</v>
      </c>
      <c r="AA231" s="83">
        <v>0</v>
      </c>
      <c r="AB231" s="83">
        <v>1005.28</v>
      </c>
      <c r="AC231" s="83">
        <v>0</v>
      </c>
      <c r="AD231" s="83">
        <v>0</v>
      </c>
      <c r="AE231" s="83">
        <v>0</v>
      </c>
      <c r="AF231" s="83">
        <v>0</v>
      </c>
      <c r="AG231" s="83">
        <v>214.137</v>
      </c>
      <c r="AH231" s="83">
        <v>0</v>
      </c>
      <c r="AI231" s="83">
        <v>0</v>
      </c>
      <c r="AJ231" s="83">
        <v>0</v>
      </c>
      <c r="AK231" s="83">
        <v>0</v>
      </c>
      <c r="AL231" s="83">
        <v>0</v>
      </c>
      <c r="AM231" s="83">
        <v>0</v>
      </c>
      <c r="AN231" s="83">
        <v>0</v>
      </c>
      <c r="AO231" s="83">
        <v>0</v>
      </c>
      <c r="AP231" s="83">
        <v>0</v>
      </c>
      <c r="AQ231" s="83">
        <v>0</v>
      </c>
      <c r="AR231" s="83">
        <v>0</v>
      </c>
      <c r="AS231" s="83">
        <v>0</v>
      </c>
      <c r="AT231" s="83">
        <v>3263.4520000000002</v>
      </c>
      <c r="AU231" s="83">
        <v>0</v>
      </c>
      <c r="AV231" s="83">
        <v>0</v>
      </c>
      <c r="AW231" s="83">
        <v>0</v>
      </c>
      <c r="AX231" s="83">
        <v>0</v>
      </c>
      <c r="AY231" s="83">
        <v>0</v>
      </c>
      <c r="AZ231" s="83">
        <v>0</v>
      </c>
      <c r="BA231" s="83">
        <v>0</v>
      </c>
      <c r="BB231" s="83">
        <v>0</v>
      </c>
      <c r="BC231" s="83">
        <v>0</v>
      </c>
      <c r="BD231" s="83">
        <v>0</v>
      </c>
      <c r="BE231" s="83">
        <v>0</v>
      </c>
      <c r="BF231" s="83">
        <v>0</v>
      </c>
      <c r="BG231" s="83">
        <v>0</v>
      </c>
      <c r="BH231" s="83">
        <v>0</v>
      </c>
      <c r="BI231" s="83">
        <v>0</v>
      </c>
      <c r="BJ231" s="83">
        <v>0</v>
      </c>
      <c r="BK231" s="83">
        <v>0</v>
      </c>
      <c r="BL231" s="83">
        <v>0</v>
      </c>
      <c r="BM231" s="83">
        <v>0</v>
      </c>
      <c r="BN231" s="83">
        <v>0</v>
      </c>
      <c r="BO231" s="83">
        <v>0</v>
      </c>
      <c r="BP231" s="83">
        <v>1601.3410000000001</v>
      </c>
      <c r="BQ231" s="83">
        <v>1823.4090000000001</v>
      </c>
      <c r="BR231" s="83">
        <v>0</v>
      </c>
      <c r="BS231" s="83">
        <v>3596.3067999999998</v>
      </c>
      <c r="BT231" s="83">
        <v>0</v>
      </c>
      <c r="BU231" s="83">
        <v>0</v>
      </c>
      <c r="BV231" s="83">
        <v>0</v>
      </c>
      <c r="BW231" s="83">
        <v>0</v>
      </c>
      <c r="BX231" s="83">
        <v>0</v>
      </c>
      <c r="BY231" s="83">
        <v>0</v>
      </c>
      <c r="BZ231" s="83">
        <v>0</v>
      </c>
      <c r="CA231" s="83">
        <f t="shared" si="215"/>
        <v>13473.2034</v>
      </c>
      <c r="CB231" s="83">
        <v>9984.9600000000009</v>
      </c>
      <c r="CC231" s="83">
        <f>SUM(CA231:CB231)</f>
        <v>23458.163400000001</v>
      </c>
    </row>
    <row r="232" spans="1:81">
      <c r="A232" t="s">
        <v>180</v>
      </c>
      <c r="C232" s="83">
        <v>5601.7374</v>
      </c>
      <c r="D232" s="83">
        <v>431.19920000000002</v>
      </c>
      <c r="E232" s="83">
        <v>64.601600000000005</v>
      </c>
      <c r="F232" s="83">
        <v>76.817400000000006</v>
      </c>
      <c r="G232" s="83">
        <v>0</v>
      </c>
      <c r="H232" s="83">
        <v>82.873800000000003</v>
      </c>
      <c r="I232" s="83">
        <v>165.21200000000002</v>
      </c>
      <c r="J232" s="83">
        <v>408.08600000000001</v>
      </c>
      <c r="K232" s="83">
        <v>85.737200000000001</v>
      </c>
      <c r="L232" s="83">
        <v>20.538200000000003</v>
      </c>
      <c r="M232" s="83">
        <v>80.442999999999998</v>
      </c>
      <c r="N232" s="83">
        <v>211.19120000000001</v>
      </c>
      <c r="O232" s="83">
        <v>29.911200000000001</v>
      </c>
      <c r="P232" s="83">
        <v>3.0076000000000001</v>
      </c>
      <c r="Q232" s="83">
        <v>4.4084000000000003</v>
      </c>
      <c r="R232" s="83">
        <v>4.4084000000000003</v>
      </c>
      <c r="S232" s="83">
        <v>1.8334000000000001</v>
      </c>
      <c r="T232" s="83">
        <v>0</v>
      </c>
      <c r="U232" s="83">
        <v>72.573799999999991</v>
      </c>
      <c r="V232" s="83">
        <v>0</v>
      </c>
      <c r="W232" s="83">
        <v>0</v>
      </c>
      <c r="X232" s="83">
        <v>152.60480000000001</v>
      </c>
      <c r="Y232" s="83">
        <v>0</v>
      </c>
      <c r="Z232" s="83">
        <v>40.602600000000002</v>
      </c>
      <c r="AA232" s="83">
        <v>29.705200000000001</v>
      </c>
      <c r="AB232" s="83">
        <v>259.68360000000001</v>
      </c>
      <c r="AC232" s="83">
        <v>0</v>
      </c>
      <c r="AD232" s="83">
        <v>0</v>
      </c>
      <c r="AE232" s="83">
        <v>0</v>
      </c>
      <c r="AF232" s="83">
        <v>0</v>
      </c>
      <c r="AG232" s="83">
        <v>249.58959999999999</v>
      </c>
      <c r="AH232" s="83">
        <v>110.72500000000001</v>
      </c>
      <c r="AI232" s="83">
        <v>0</v>
      </c>
      <c r="AJ232" s="83">
        <v>0</v>
      </c>
      <c r="AK232" s="83">
        <v>0</v>
      </c>
      <c r="AL232" s="83">
        <v>0</v>
      </c>
      <c r="AM232" s="83">
        <v>0</v>
      </c>
      <c r="AN232" s="83">
        <v>0</v>
      </c>
      <c r="AO232" s="83">
        <v>0</v>
      </c>
      <c r="AP232" s="83">
        <v>0</v>
      </c>
      <c r="AQ232" s="83">
        <v>0.82400000000000007</v>
      </c>
      <c r="AR232" s="83">
        <v>35.720399999999998</v>
      </c>
      <c r="AS232" s="83">
        <v>0</v>
      </c>
      <c r="AT232" s="83">
        <v>20.043800000000001</v>
      </c>
      <c r="AU232" s="83">
        <v>0</v>
      </c>
      <c r="AV232" s="83">
        <v>0</v>
      </c>
      <c r="AW232" s="83">
        <v>47.050400000000003</v>
      </c>
      <c r="AX232" s="83">
        <v>0</v>
      </c>
      <c r="AY232" s="83">
        <v>0</v>
      </c>
      <c r="AZ232" s="83">
        <v>13.5136</v>
      </c>
      <c r="BA232" s="83">
        <v>0</v>
      </c>
      <c r="BB232" s="83">
        <v>0</v>
      </c>
      <c r="BC232" s="83">
        <v>0</v>
      </c>
      <c r="BD232" s="83">
        <v>0</v>
      </c>
      <c r="BE232" s="83">
        <v>0</v>
      </c>
      <c r="BF232" s="83">
        <v>0</v>
      </c>
      <c r="BG232" s="83">
        <v>0</v>
      </c>
      <c r="BH232" s="83">
        <v>42.765600000000006</v>
      </c>
      <c r="BI232" s="83">
        <v>0</v>
      </c>
      <c r="BJ232" s="83">
        <v>19.343400000000003</v>
      </c>
      <c r="BK232" s="83">
        <v>12.8956</v>
      </c>
      <c r="BL232" s="83">
        <v>0</v>
      </c>
      <c r="BM232" s="83">
        <v>0</v>
      </c>
      <c r="BN232" s="83">
        <v>0</v>
      </c>
      <c r="BO232" s="83">
        <v>0</v>
      </c>
      <c r="BP232" s="83">
        <v>11.124000000000001</v>
      </c>
      <c r="BQ232" s="83">
        <v>9.6614000000000004</v>
      </c>
      <c r="BR232" s="83">
        <v>9.0228000000000002</v>
      </c>
      <c r="BS232" s="83">
        <v>33.99</v>
      </c>
      <c r="BT232" s="83">
        <v>41.818000000000005</v>
      </c>
      <c r="BU232" s="83">
        <v>0</v>
      </c>
      <c r="BV232" s="83">
        <v>0</v>
      </c>
      <c r="BW232" s="83">
        <v>0</v>
      </c>
      <c r="BX232" s="83">
        <v>0</v>
      </c>
      <c r="BY232" s="83">
        <v>0</v>
      </c>
      <c r="BZ232" s="83">
        <v>0</v>
      </c>
      <c r="CA232" s="83">
        <f t="shared" si="215"/>
        <v>8485.263600000002</v>
      </c>
      <c r="CB232" s="83">
        <v>383.59999999999997</v>
      </c>
      <c r="CC232" s="83">
        <f>SUM(CA232:CB232)</f>
        <v>8868.8636000000024</v>
      </c>
    </row>
    <row r="233" spans="1:81">
      <c r="CA233" s="83"/>
    </row>
    <row r="234" spans="1:81">
      <c r="A234" t="s">
        <v>179</v>
      </c>
      <c r="C234" s="77">
        <f t="shared" ref="C234:AD234" si="252">C231/$CA$231</f>
        <v>0.13577172003504379</v>
      </c>
      <c r="D234" s="77">
        <f t="shared" si="252"/>
        <v>0</v>
      </c>
      <c r="E234" s="77">
        <f t="shared" si="252"/>
        <v>0</v>
      </c>
      <c r="F234" s="77">
        <f t="shared" si="252"/>
        <v>0</v>
      </c>
      <c r="G234" s="77">
        <f t="shared" si="252"/>
        <v>0</v>
      </c>
      <c r="H234" s="77">
        <f t="shared" si="252"/>
        <v>0</v>
      </c>
      <c r="I234" s="77">
        <f t="shared" si="252"/>
        <v>5.1954088364761109E-3</v>
      </c>
      <c r="J234" s="77">
        <f t="shared" si="252"/>
        <v>0</v>
      </c>
      <c r="K234" s="77">
        <f t="shared" si="252"/>
        <v>0</v>
      </c>
      <c r="L234" s="77">
        <f t="shared" si="252"/>
        <v>0</v>
      </c>
      <c r="M234" s="77">
        <f t="shared" si="252"/>
        <v>0</v>
      </c>
      <c r="N234" s="77">
        <f t="shared" si="252"/>
        <v>5.1954088364761109E-3</v>
      </c>
      <c r="O234" s="77">
        <f t="shared" si="252"/>
        <v>0</v>
      </c>
      <c r="P234" s="77">
        <f t="shared" si="252"/>
        <v>0</v>
      </c>
      <c r="Q234" s="77">
        <f t="shared" si="252"/>
        <v>0</v>
      </c>
      <c r="R234" s="77">
        <f t="shared" si="252"/>
        <v>0</v>
      </c>
      <c r="S234" s="77">
        <f t="shared" si="252"/>
        <v>0</v>
      </c>
      <c r="T234" s="77">
        <f t="shared" si="252"/>
        <v>0</v>
      </c>
      <c r="U234" s="77">
        <f t="shared" si="252"/>
        <v>0</v>
      </c>
      <c r="V234" s="77">
        <f t="shared" si="252"/>
        <v>0</v>
      </c>
      <c r="W234" s="77">
        <f t="shared" si="252"/>
        <v>0</v>
      </c>
      <c r="X234" s="77">
        <f t="shared" si="252"/>
        <v>0</v>
      </c>
      <c r="Y234" s="77">
        <f t="shared" si="252"/>
        <v>0</v>
      </c>
      <c r="Z234" s="77">
        <f t="shared" si="252"/>
        <v>0</v>
      </c>
      <c r="AA234" s="77">
        <f t="shared" si="252"/>
        <v>0</v>
      </c>
      <c r="AB234" s="77">
        <f t="shared" si="252"/>
        <v>7.4613287586825852E-2</v>
      </c>
      <c r="AC234" s="77">
        <f t="shared" si="252"/>
        <v>0</v>
      </c>
      <c r="AD234" s="77">
        <f t="shared" si="252"/>
        <v>0</v>
      </c>
      <c r="AE234" s="77" t="e">
        <f>AE231/$BI$231</f>
        <v>#DIV/0!</v>
      </c>
      <c r="AF234" s="77">
        <f t="shared" ref="AF234:BP234" si="253">AF231/$CA$231</f>
        <v>0</v>
      </c>
      <c r="AG234" s="77">
        <f t="shared" si="253"/>
        <v>1.5893547632480631E-2</v>
      </c>
      <c r="AH234" s="77">
        <f t="shared" si="253"/>
        <v>0</v>
      </c>
      <c r="AI234" s="77">
        <f t="shared" si="253"/>
        <v>0</v>
      </c>
      <c r="AJ234" s="77">
        <f t="shared" si="253"/>
        <v>0</v>
      </c>
      <c r="AK234" s="77">
        <f t="shared" si="253"/>
        <v>0</v>
      </c>
      <c r="AL234" s="77">
        <f t="shared" si="253"/>
        <v>0</v>
      </c>
      <c r="AM234" s="77">
        <f t="shared" si="253"/>
        <v>0</v>
      </c>
      <c r="AN234" s="77">
        <f t="shared" si="253"/>
        <v>0</v>
      </c>
      <c r="AO234" s="77">
        <f t="shared" si="253"/>
        <v>0</v>
      </c>
      <c r="AP234" s="77">
        <f t="shared" si="253"/>
        <v>0</v>
      </c>
      <c r="AQ234" s="77">
        <f t="shared" si="253"/>
        <v>0</v>
      </c>
      <c r="AR234" s="77">
        <f t="shared" si="253"/>
        <v>0</v>
      </c>
      <c r="AS234" s="77">
        <f t="shared" si="253"/>
        <v>0</v>
      </c>
      <c r="AT234" s="77">
        <f t="shared" si="253"/>
        <v>0.24221797171116707</v>
      </c>
      <c r="AU234" s="77">
        <f t="shared" si="253"/>
        <v>0</v>
      </c>
      <c r="AV234" s="77">
        <f t="shared" si="253"/>
        <v>0</v>
      </c>
      <c r="AW234" s="77">
        <f t="shared" si="253"/>
        <v>0</v>
      </c>
      <c r="AX234" s="77">
        <f t="shared" si="253"/>
        <v>0</v>
      </c>
      <c r="AY234" s="77">
        <f t="shared" si="253"/>
        <v>0</v>
      </c>
      <c r="AZ234" s="77">
        <f t="shared" si="253"/>
        <v>0</v>
      </c>
      <c r="BA234" s="77">
        <f t="shared" si="253"/>
        <v>0</v>
      </c>
      <c r="BB234" s="77">
        <f t="shared" si="253"/>
        <v>0</v>
      </c>
      <c r="BC234" s="77">
        <f t="shared" si="253"/>
        <v>0</v>
      </c>
      <c r="BD234" s="77">
        <f t="shared" si="253"/>
        <v>0</v>
      </c>
      <c r="BE234" s="77">
        <f t="shared" si="253"/>
        <v>0</v>
      </c>
      <c r="BF234" s="77">
        <f t="shared" si="253"/>
        <v>0</v>
      </c>
      <c r="BG234" s="77">
        <f t="shared" si="253"/>
        <v>0</v>
      </c>
      <c r="BH234" s="77">
        <f t="shared" si="253"/>
        <v>0</v>
      </c>
      <c r="BI234" s="77">
        <f t="shared" si="253"/>
        <v>0</v>
      </c>
      <c r="BJ234" s="77">
        <f t="shared" si="253"/>
        <v>0</v>
      </c>
      <c r="BK234" s="77">
        <f t="shared" si="253"/>
        <v>0</v>
      </c>
      <c r="BL234" s="77">
        <f t="shared" si="253"/>
        <v>0</v>
      </c>
      <c r="BM234" s="77">
        <f t="shared" si="253"/>
        <v>0</v>
      </c>
      <c r="BN234" s="77">
        <f t="shared" si="253"/>
        <v>0</v>
      </c>
      <c r="BO234" s="77">
        <f t="shared" si="253"/>
        <v>0</v>
      </c>
      <c r="BP234" s="77">
        <f t="shared" si="253"/>
        <v>0.1188537686590555</v>
      </c>
      <c r="BQ234" s="77">
        <f t="shared" ref="BQ234:BZ234" si="254">BQ231/$CA$231</f>
        <v>0.13533596620385024</v>
      </c>
      <c r="BR234" s="77">
        <f t="shared" si="254"/>
        <v>0</v>
      </c>
      <c r="BS234" s="77">
        <f t="shared" si="254"/>
        <v>0.26692292049862471</v>
      </c>
      <c r="BT234" s="77">
        <f t="shared" si="254"/>
        <v>0</v>
      </c>
      <c r="BU234" s="77">
        <f t="shared" si="254"/>
        <v>0</v>
      </c>
      <c r="BV234" s="77">
        <f t="shared" si="254"/>
        <v>0</v>
      </c>
      <c r="BW234" s="77">
        <f t="shared" si="254"/>
        <v>0</v>
      </c>
      <c r="BX234" s="77">
        <f t="shared" si="254"/>
        <v>0</v>
      </c>
      <c r="BY234" s="77">
        <f t="shared" si="254"/>
        <v>0</v>
      </c>
      <c r="BZ234" s="77">
        <f t="shared" si="254"/>
        <v>0</v>
      </c>
      <c r="CA234" s="77" t="e">
        <f t="shared" si="215"/>
        <v>#DIV/0!</v>
      </c>
    </row>
    <row r="235" spans="1:81">
      <c r="A235" t="s">
        <v>180</v>
      </c>
      <c r="C235" s="77">
        <f t="shared" ref="C235:AD235" si="255">C232/$CA$232</f>
        <v>0.66017246653362649</v>
      </c>
      <c r="D235" s="77">
        <f t="shared" si="255"/>
        <v>5.0817419508334419E-2</v>
      </c>
      <c r="E235" s="77">
        <f t="shared" si="255"/>
        <v>7.6133875204536941E-3</v>
      </c>
      <c r="F235" s="77">
        <f t="shared" si="255"/>
        <v>9.0530363723762206E-3</v>
      </c>
      <c r="G235" s="77">
        <f t="shared" si="255"/>
        <v>0</v>
      </c>
      <c r="H235" s="77">
        <f t="shared" si="255"/>
        <v>9.7667914524187539E-3</v>
      </c>
      <c r="I235" s="77">
        <f t="shared" si="255"/>
        <v>1.9470461707282727E-2</v>
      </c>
      <c r="J235" s="77">
        <f t="shared" si="255"/>
        <v>4.809349706000883E-2</v>
      </c>
      <c r="K235" s="77">
        <f t="shared" si="255"/>
        <v>1.0104247085500088E-2</v>
      </c>
      <c r="L235" s="77">
        <f t="shared" si="255"/>
        <v>2.4204551523891371E-3</v>
      </c>
      <c r="M235" s="77">
        <f t="shared" si="255"/>
        <v>9.4803183250547433E-3</v>
      </c>
      <c r="N235" s="77">
        <f t="shared" si="255"/>
        <v>2.4889173743524003E-2</v>
      </c>
      <c r="O235" s="77">
        <f t="shared" si="255"/>
        <v>3.5250761095978202E-3</v>
      </c>
      <c r="P235" s="77">
        <f t="shared" si="255"/>
        <v>3.5444980165377527E-4</v>
      </c>
      <c r="Q235" s="77">
        <f t="shared" si="255"/>
        <v>5.1953601064320487E-4</v>
      </c>
      <c r="R235" s="77">
        <f t="shared" si="255"/>
        <v>5.1953601064320487E-4</v>
      </c>
      <c r="S235" s="77">
        <f t="shared" si="255"/>
        <v>2.1606871470675345E-4</v>
      </c>
      <c r="T235" s="77">
        <f t="shared" si="255"/>
        <v>0</v>
      </c>
      <c r="U235" s="77">
        <f t="shared" si="255"/>
        <v>8.552922268672946E-3</v>
      </c>
      <c r="V235" s="77">
        <f t="shared" si="255"/>
        <v>0</v>
      </c>
      <c r="W235" s="77">
        <f t="shared" si="255"/>
        <v>0</v>
      </c>
      <c r="X235" s="77">
        <f t="shared" si="255"/>
        <v>1.7984685826377859E-2</v>
      </c>
      <c r="Y235" s="77">
        <f t="shared" si="255"/>
        <v>0</v>
      </c>
      <c r="Z235" s="77">
        <f t="shared" si="255"/>
        <v>4.7850723223259667E-3</v>
      </c>
      <c r="AA235" s="77">
        <f t="shared" si="255"/>
        <v>3.5007987259229041E-3</v>
      </c>
      <c r="AB235" s="77">
        <f t="shared" si="255"/>
        <v>3.0604069860599256E-2</v>
      </c>
      <c r="AC235" s="77">
        <f t="shared" si="255"/>
        <v>0</v>
      </c>
      <c r="AD235" s="77">
        <f t="shared" si="255"/>
        <v>0</v>
      </c>
      <c r="AE235" s="77" t="e">
        <f>AE232/$BI$232</f>
        <v>#DIV/0!</v>
      </c>
      <c r="AF235" s="77">
        <f t="shared" ref="AF235:BP235" si="256">AF232/$CA$232</f>
        <v>0</v>
      </c>
      <c r="AG235" s="77">
        <f t="shared" si="256"/>
        <v>2.9414478060528364E-2</v>
      </c>
      <c r="AH235" s="77">
        <f t="shared" si="256"/>
        <v>1.3049093725267413E-2</v>
      </c>
      <c r="AI235" s="77">
        <f t="shared" si="256"/>
        <v>0</v>
      </c>
      <c r="AJ235" s="77">
        <f t="shared" si="256"/>
        <v>0</v>
      </c>
      <c r="AK235" s="77">
        <f t="shared" si="256"/>
        <v>0</v>
      </c>
      <c r="AL235" s="77">
        <f t="shared" si="256"/>
        <v>0</v>
      </c>
      <c r="AM235" s="77">
        <f t="shared" si="256"/>
        <v>0</v>
      </c>
      <c r="AN235" s="77">
        <f t="shared" si="256"/>
        <v>0</v>
      </c>
      <c r="AO235" s="77">
        <f t="shared" si="256"/>
        <v>0</v>
      </c>
      <c r="AP235" s="77">
        <f t="shared" si="256"/>
        <v>0</v>
      </c>
      <c r="AQ235" s="77">
        <f t="shared" si="256"/>
        <v>9.7109534699664477E-5</v>
      </c>
      <c r="AR235" s="77">
        <f t="shared" si="256"/>
        <v>4.2096983292304541E-3</v>
      </c>
      <c r="AS235" s="77">
        <f t="shared" si="256"/>
        <v>0</v>
      </c>
      <c r="AT235" s="77">
        <f t="shared" si="256"/>
        <v>2.3621894315693382E-3</v>
      </c>
      <c r="AU235" s="77">
        <f t="shared" si="256"/>
        <v>0</v>
      </c>
      <c r="AV235" s="77">
        <f t="shared" si="256"/>
        <v>0</v>
      </c>
      <c r="AW235" s="77">
        <f t="shared" si="256"/>
        <v>5.5449544313508408E-3</v>
      </c>
      <c r="AX235" s="77">
        <f t="shared" si="256"/>
        <v>0</v>
      </c>
      <c r="AY235" s="77">
        <f t="shared" si="256"/>
        <v>0</v>
      </c>
      <c r="AZ235" s="77">
        <f t="shared" si="256"/>
        <v>1.5925963690744973E-3</v>
      </c>
      <c r="BA235" s="77">
        <f t="shared" si="256"/>
        <v>0</v>
      </c>
      <c r="BB235" s="77">
        <f t="shared" si="256"/>
        <v>0</v>
      </c>
      <c r="BC235" s="77">
        <f t="shared" si="256"/>
        <v>0</v>
      </c>
      <c r="BD235" s="77">
        <f t="shared" si="256"/>
        <v>0</v>
      </c>
      <c r="BE235" s="77">
        <f t="shared" si="256"/>
        <v>0</v>
      </c>
      <c r="BF235" s="77">
        <f t="shared" si="256"/>
        <v>0</v>
      </c>
      <c r="BG235" s="77">
        <f t="shared" si="256"/>
        <v>0</v>
      </c>
      <c r="BH235" s="77">
        <f t="shared" si="256"/>
        <v>5.039984850912586E-3</v>
      </c>
      <c r="BI235" s="77">
        <f t="shared" si="256"/>
        <v>0</v>
      </c>
      <c r="BJ235" s="77">
        <f t="shared" si="256"/>
        <v>2.2796463270746237E-3</v>
      </c>
      <c r="BK235" s="77">
        <f t="shared" si="256"/>
        <v>1.5197642180497489E-3</v>
      </c>
      <c r="BL235" s="77">
        <f t="shared" si="256"/>
        <v>0</v>
      </c>
      <c r="BM235" s="77">
        <f t="shared" si="256"/>
        <v>0</v>
      </c>
      <c r="BN235" s="77">
        <f t="shared" si="256"/>
        <v>0</v>
      </c>
      <c r="BO235" s="77">
        <f t="shared" si="256"/>
        <v>0</v>
      </c>
      <c r="BP235" s="77">
        <f t="shared" si="256"/>
        <v>1.3109787184454704E-3</v>
      </c>
      <c r="BQ235" s="77">
        <f t="shared" ref="BQ235:BZ235" si="257">BQ232/$CA$232</f>
        <v>1.1386092943535659E-3</v>
      </c>
      <c r="BR235" s="77">
        <f t="shared" si="257"/>
        <v>1.0633494049613259E-3</v>
      </c>
      <c r="BS235" s="77">
        <f t="shared" si="257"/>
        <v>4.0057683063611594E-3</v>
      </c>
      <c r="BT235" s="77">
        <f t="shared" si="257"/>
        <v>4.928308886007972E-3</v>
      </c>
      <c r="BU235" s="77">
        <f t="shared" si="257"/>
        <v>0</v>
      </c>
      <c r="BV235" s="77">
        <f t="shared" si="257"/>
        <v>0</v>
      </c>
      <c r="BW235" s="77">
        <f t="shared" si="257"/>
        <v>0</v>
      </c>
      <c r="BX235" s="77">
        <f t="shared" si="257"/>
        <v>0</v>
      </c>
      <c r="BY235" s="77">
        <f t="shared" si="257"/>
        <v>0</v>
      </c>
      <c r="BZ235" s="77">
        <f t="shared" si="257"/>
        <v>0</v>
      </c>
      <c r="CA235" s="77" t="e">
        <f t="shared" si="215"/>
        <v>#DIV/0!</v>
      </c>
    </row>
    <row r="236" spans="1:81">
      <c r="CA236" s="83"/>
    </row>
    <row r="237" spans="1:81">
      <c r="A237" t="s">
        <v>179</v>
      </c>
      <c r="C237" s="83">
        <f t="shared" ref="C237:AD237" si="258">$CB$231*C234</f>
        <v>1355.6751936811108</v>
      </c>
      <c r="D237" s="83">
        <f t="shared" si="258"/>
        <v>0</v>
      </c>
      <c r="E237" s="83">
        <f t="shared" si="258"/>
        <v>0</v>
      </c>
      <c r="F237" s="83">
        <f t="shared" si="258"/>
        <v>0</v>
      </c>
      <c r="G237" s="83">
        <f t="shared" si="258"/>
        <v>0</v>
      </c>
      <c r="H237" s="83">
        <f t="shared" si="258"/>
        <v>0</v>
      </c>
      <c r="I237" s="83">
        <f t="shared" si="258"/>
        <v>51.875949415860511</v>
      </c>
      <c r="J237" s="83">
        <f t="shared" si="258"/>
        <v>0</v>
      </c>
      <c r="K237" s="83">
        <f t="shared" si="258"/>
        <v>0</v>
      </c>
      <c r="L237" s="83">
        <f t="shared" si="258"/>
        <v>0</v>
      </c>
      <c r="M237" s="83">
        <f t="shared" si="258"/>
        <v>0</v>
      </c>
      <c r="N237" s="83">
        <f t="shared" si="258"/>
        <v>51.875949415860511</v>
      </c>
      <c r="O237" s="83">
        <f t="shared" si="258"/>
        <v>0</v>
      </c>
      <c r="P237" s="83">
        <f t="shared" si="258"/>
        <v>0</v>
      </c>
      <c r="Q237" s="83">
        <f t="shared" si="258"/>
        <v>0</v>
      </c>
      <c r="R237" s="83">
        <f t="shared" si="258"/>
        <v>0</v>
      </c>
      <c r="S237" s="83">
        <f t="shared" si="258"/>
        <v>0</v>
      </c>
      <c r="T237" s="83">
        <f t="shared" si="258"/>
        <v>0</v>
      </c>
      <c r="U237" s="83">
        <f t="shared" si="258"/>
        <v>0</v>
      </c>
      <c r="V237" s="83">
        <f t="shared" si="258"/>
        <v>0</v>
      </c>
      <c r="W237" s="83">
        <f t="shared" si="258"/>
        <v>0</v>
      </c>
      <c r="X237" s="83">
        <f t="shared" si="258"/>
        <v>0</v>
      </c>
      <c r="Y237" s="83">
        <f t="shared" si="258"/>
        <v>0</v>
      </c>
      <c r="Z237" s="83">
        <f t="shared" si="258"/>
        <v>0</v>
      </c>
      <c r="AA237" s="83">
        <f t="shared" si="258"/>
        <v>0</v>
      </c>
      <c r="AB237" s="83">
        <f t="shared" si="258"/>
        <v>745.01069202295275</v>
      </c>
      <c r="AC237" s="83">
        <f t="shared" si="258"/>
        <v>0</v>
      </c>
      <c r="AD237" s="83">
        <f t="shared" si="258"/>
        <v>0</v>
      </c>
      <c r="AE237" s="83" t="e">
        <f>$BJ$231*AE234</f>
        <v>#DIV/0!</v>
      </c>
      <c r="AF237" s="83">
        <f t="shared" ref="AF237:BP237" si="259">$CB$231*AF234</f>
        <v>0</v>
      </c>
      <c r="AG237" s="83">
        <f t="shared" si="259"/>
        <v>158.69643736841383</v>
      </c>
      <c r="AH237" s="83">
        <f t="shared" si="259"/>
        <v>0</v>
      </c>
      <c r="AI237" s="83">
        <f t="shared" si="259"/>
        <v>0</v>
      </c>
      <c r="AJ237" s="83">
        <f t="shared" si="259"/>
        <v>0</v>
      </c>
      <c r="AK237" s="83">
        <f t="shared" si="259"/>
        <v>0</v>
      </c>
      <c r="AL237" s="83">
        <f t="shared" si="259"/>
        <v>0</v>
      </c>
      <c r="AM237" s="83">
        <f t="shared" si="259"/>
        <v>0</v>
      </c>
      <c r="AN237" s="83">
        <f t="shared" si="259"/>
        <v>0</v>
      </c>
      <c r="AO237" s="83">
        <f t="shared" si="259"/>
        <v>0</v>
      </c>
      <c r="AP237" s="83">
        <f t="shared" si="259"/>
        <v>0</v>
      </c>
      <c r="AQ237" s="83">
        <f t="shared" si="259"/>
        <v>0</v>
      </c>
      <c r="AR237" s="83">
        <f t="shared" si="259"/>
        <v>0</v>
      </c>
      <c r="AS237" s="83">
        <f t="shared" si="259"/>
        <v>0</v>
      </c>
      <c r="AT237" s="83">
        <f t="shared" si="259"/>
        <v>2418.5367588171348</v>
      </c>
      <c r="AU237" s="83">
        <f t="shared" si="259"/>
        <v>0</v>
      </c>
      <c r="AV237" s="83">
        <f t="shared" si="259"/>
        <v>0</v>
      </c>
      <c r="AW237" s="83">
        <f t="shared" si="259"/>
        <v>0</v>
      </c>
      <c r="AX237" s="83">
        <f t="shared" si="259"/>
        <v>0</v>
      </c>
      <c r="AY237" s="83">
        <f t="shared" si="259"/>
        <v>0</v>
      </c>
      <c r="AZ237" s="83">
        <f t="shared" si="259"/>
        <v>0</v>
      </c>
      <c r="BA237" s="83">
        <f t="shared" si="259"/>
        <v>0</v>
      </c>
      <c r="BB237" s="83">
        <f t="shared" si="259"/>
        <v>0</v>
      </c>
      <c r="BC237" s="83">
        <f t="shared" si="259"/>
        <v>0</v>
      </c>
      <c r="BD237" s="83">
        <f t="shared" si="259"/>
        <v>0</v>
      </c>
      <c r="BE237" s="83">
        <f t="shared" si="259"/>
        <v>0</v>
      </c>
      <c r="BF237" s="83">
        <f t="shared" si="259"/>
        <v>0</v>
      </c>
      <c r="BG237" s="83">
        <f t="shared" si="259"/>
        <v>0</v>
      </c>
      <c r="BH237" s="83">
        <f t="shared" si="259"/>
        <v>0</v>
      </c>
      <c r="BI237" s="83">
        <f t="shared" si="259"/>
        <v>0</v>
      </c>
      <c r="BJ237" s="83">
        <f t="shared" si="259"/>
        <v>0</v>
      </c>
      <c r="BK237" s="83">
        <f t="shared" si="259"/>
        <v>0</v>
      </c>
      <c r="BL237" s="83">
        <f t="shared" si="259"/>
        <v>0</v>
      </c>
      <c r="BM237" s="83">
        <f t="shared" si="259"/>
        <v>0</v>
      </c>
      <c r="BN237" s="83">
        <f t="shared" si="259"/>
        <v>0</v>
      </c>
      <c r="BO237" s="83">
        <f t="shared" si="259"/>
        <v>0</v>
      </c>
      <c r="BP237" s="83">
        <f t="shared" si="259"/>
        <v>1186.7501259099229</v>
      </c>
      <c r="BQ237" s="83">
        <f t="shared" ref="BQ237:BZ237" si="260">$CB$231*BQ234</f>
        <v>1351.3242091067966</v>
      </c>
      <c r="BR237" s="83">
        <f t="shared" si="260"/>
        <v>0</v>
      </c>
      <c r="BS237" s="83">
        <f t="shared" si="260"/>
        <v>2665.2146842619482</v>
      </c>
      <c r="BT237" s="83">
        <f t="shared" si="260"/>
        <v>0</v>
      </c>
      <c r="BU237" s="83">
        <f t="shared" si="260"/>
        <v>0</v>
      </c>
      <c r="BV237" s="83">
        <f t="shared" si="260"/>
        <v>0</v>
      </c>
      <c r="BW237" s="83">
        <f t="shared" si="260"/>
        <v>0</v>
      </c>
      <c r="BX237" s="83">
        <f t="shared" si="260"/>
        <v>0</v>
      </c>
      <c r="BY237" s="83">
        <f t="shared" si="260"/>
        <v>0</v>
      </c>
      <c r="BZ237" s="83">
        <f t="shared" si="260"/>
        <v>0</v>
      </c>
      <c r="CA237" s="94" t="e">
        <f t="shared" si="215"/>
        <v>#DIV/0!</v>
      </c>
    </row>
    <row r="238" spans="1:81">
      <c r="A238" t="s">
        <v>180</v>
      </c>
      <c r="C238" s="83">
        <f t="shared" ref="C238:AD238" si="261">$CB$232*C235</f>
        <v>253.24215816229909</v>
      </c>
      <c r="D238" s="83">
        <f t="shared" si="261"/>
        <v>19.49356212339708</v>
      </c>
      <c r="E238" s="83">
        <f t="shared" si="261"/>
        <v>2.920495452846037</v>
      </c>
      <c r="F238" s="83">
        <f t="shared" si="261"/>
        <v>3.4727447524435178</v>
      </c>
      <c r="G238" s="83">
        <f t="shared" si="261"/>
        <v>0</v>
      </c>
      <c r="H238" s="83">
        <f t="shared" si="261"/>
        <v>3.7465412011478336</v>
      </c>
      <c r="I238" s="83">
        <f t="shared" si="261"/>
        <v>7.4688691109136531</v>
      </c>
      <c r="J238" s="83">
        <f t="shared" si="261"/>
        <v>18.448665472219385</v>
      </c>
      <c r="K238" s="83">
        <f t="shared" si="261"/>
        <v>3.8759891819978334</v>
      </c>
      <c r="L238" s="83">
        <f t="shared" si="261"/>
        <v>0.92848659645647291</v>
      </c>
      <c r="M238" s="83">
        <f t="shared" si="261"/>
        <v>3.6366501094909993</v>
      </c>
      <c r="N238" s="83">
        <f t="shared" si="261"/>
        <v>9.5474870480158067</v>
      </c>
      <c r="O238" s="83">
        <f t="shared" si="261"/>
        <v>1.3522191956417238</v>
      </c>
      <c r="P238" s="83">
        <f t="shared" si="261"/>
        <v>0.13596694391438818</v>
      </c>
      <c r="Q238" s="83">
        <f t="shared" si="261"/>
        <v>0.19929401368273336</v>
      </c>
      <c r="R238" s="83">
        <f t="shared" si="261"/>
        <v>0.19929401368273336</v>
      </c>
      <c r="S238" s="83">
        <f t="shared" si="261"/>
        <v>8.2883958961510615E-2</v>
      </c>
      <c r="T238" s="83">
        <f t="shared" si="261"/>
        <v>0</v>
      </c>
      <c r="U238" s="83">
        <f t="shared" si="261"/>
        <v>3.2809009822629416</v>
      </c>
      <c r="V238" s="83">
        <f t="shared" si="261"/>
        <v>0</v>
      </c>
      <c r="W238" s="83">
        <f t="shared" si="261"/>
        <v>0</v>
      </c>
      <c r="X238" s="83">
        <f t="shared" si="261"/>
        <v>6.8989254829985462</v>
      </c>
      <c r="Y238" s="83">
        <f t="shared" si="261"/>
        <v>0</v>
      </c>
      <c r="Z238" s="83">
        <f t="shared" si="261"/>
        <v>1.8355537428442408</v>
      </c>
      <c r="AA238" s="83">
        <f t="shared" si="261"/>
        <v>1.342906391264026</v>
      </c>
      <c r="AB238" s="83">
        <f t="shared" si="261"/>
        <v>11.739721198525874</v>
      </c>
      <c r="AC238" s="83">
        <f t="shared" si="261"/>
        <v>0</v>
      </c>
      <c r="AD238" s="83">
        <f t="shared" si="261"/>
        <v>0</v>
      </c>
      <c r="AE238" s="83" t="e">
        <f>$BJ$232*AE235</f>
        <v>#DIV/0!</v>
      </c>
      <c r="AF238" s="83">
        <f t="shared" ref="AF238:BP238" si="262">$CB$232*AF235</f>
        <v>0</v>
      </c>
      <c r="AG238" s="83">
        <f t="shared" si="262"/>
        <v>11.28339378401868</v>
      </c>
      <c r="AH238" s="83">
        <f t="shared" si="262"/>
        <v>5.0056323530125795</v>
      </c>
      <c r="AI238" s="83">
        <f t="shared" si="262"/>
        <v>0</v>
      </c>
      <c r="AJ238" s="83">
        <f t="shared" si="262"/>
        <v>0</v>
      </c>
      <c r="AK238" s="83">
        <f t="shared" si="262"/>
        <v>0</v>
      </c>
      <c r="AL238" s="83">
        <f t="shared" si="262"/>
        <v>0</v>
      </c>
      <c r="AM238" s="83">
        <f t="shared" si="262"/>
        <v>0</v>
      </c>
      <c r="AN238" s="83">
        <f t="shared" si="262"/>
        <v>0</v>
      </c>
      <c r="AO238" s="83">
        <f t="shared" si="262"/>
        <v>0</v>
      </c>
      <c r="AP238" s="83">
        <f t="shared" si="262"/>
        <v>0</v>
      </c>
      <c r="AQ238" s="83">
        <f t="shared" si="262"/>
        <v>3.7251217510791287E-2</v>
      </c>
      <c r="AR238" s="83">
        <f t="shared" si="262"/>
        <v>1.614840279092802</v>
      </c>
      <c r="AS238" s="83">
        <f t="shared" si="262"/>
        <v>0</v>
      </c>
      <c r="AT238" s="83">
        <f t="shared" si="262"/>
        <v>0.90613586594999807</v>
      </c>
      <c r="AU238" s="83">
        <f t="shared" si="262"/>
        <v>0</v>
      </c>
      <c r="AV238" s="83">
        <f t="shared" si="262"/>
        <v>0</v>
      </c>
      <c r="AW238" s="83">
        <f t="shared" si="262"/>
        <v>2.1270445198661823</v>
      </c>
      <c r="AX238" s="83">
        <f t="shared" si="262"/>
        <v>0</v>
      </c>
      <c r="AY238" s="83">
        <f t="shared" si="262"/>
        <v>0</v>
      </c>
      <c r="AZ238" s="83">
        <f t="shared" si="262"/>
        <v>0.61091996717697705</v>
      </c>
      <c r="BA238" s="83">
        <f t="shared" si="262"/>
        <v>0</v>
      </c>
      <c r="BB238" s="83">
        <f t="shared" si="262"/>
        <v>0</v>
      </c>
      <c r="BC238" s="83">
        <f t="shared" si="262"/>
        <v>0</v>
      </c>
      <c r="BD238" s="83">
        <f t="shared" si="262"/>
        <v>0</v>
      </c>
      <c r="BE238" s="83">
        <f t="shared" si="262"/>
        <v>0</v>
      </c>
      <c r="BF238" s="83">
        <f t="shared" si="262"/>
        <v>0</v>
      </c>
      <c r="BG238" s="83">
        <f t="shared" si="262"/>
        <v>0</v>
      </c>
      <c r="BH238" s="83">
        <f t="shared" si="262"/>
        <v>1.9333381888100678</v>
      </c>
      <c r="BI238" s="83">
        <f t="shared" si="262"/>
        <v>0</v>
      </c>
      <c r="BJ238" s="83">
        <f t="shared" si="262"/>
        <v>0.87447233106582556</v>
      </c>
      <c r="BK238" s="83">
        <f t="shared" si="262"/>
        <v>0.58298155404388363</v>
      </c>
      <c r="BL238" s="83">
        <f t="shared" si="262"/>
        <v>0</v>
      </c>
      <c r="BM238" s="83">
        <f t="shared" si="262"/>
        <v>0</v>
      </c>
      <c r="BN238" s="83">
        <f t="shared" si="262"/>
        <v>0</v>
      </c>
      <c r="BO238" s="83">
        <f t="shared" si="262"/>
        <v>0</v>
      </c>
      <c r="BP238" s="83">
        <f t="shared" si="262"/>
        <v>0.50289143639568246</v>
      </c>
      <c r="BQ238" s="83">
        <f t="shared" ref="BQ238:BZ238" si="263">$CB$232*BQ235</f>
        <v>0.43677052531402782</v>
      </c>
      <c r="BR238" s="83">
        <f t="shared" si="263"/>
        <v>0.40790083174316455</v>
      </c>
      <c r="BS238" s="83">
        <f t="shared" si="263"/>
        <v>1.5366127223201407</v>
      </c>
      <c r="BT238" s="83">
        <f t="shared" si="263"/>
        <v>1.8904992886726579</v>
      </c>
      <c r="BU238" s="83">
        <f t="shared" si="263"/>
        <v>0</v>
      </c>
      <c r="BV238" s="83">
        <f t="shared" si="263"/>
        <v>0</v>
      </c>
      <c r="BW238" s="83">
        <f t="shared" si="263"/>
        <v>0</v>
      </c>
      <c r="BX238" s="83">
        <f t="shared" si="263"/>
        <v>0</v>
      </c>
      <c r="BY238" s="83">
        <f t="shared" si="263"/>
        <v>0</v>
      </c>
      <c r="BZ238" s="83">
        <f t="shared" si="263"/>
        <v>0</v>
      </c>
      <c r="CA238" s="94" t="e">
        <f t="shared" si="215"/>
        <v>#DIV/0!</v>
      </c>
    </row>
    <row r="239" spans="1:81">
      <c r="CA239" s="83"/>
    </row>
    <row r="240" spans="1:81">
      <c r="A240" t="s">
        <v>179</v>
      </c>
      <c r="C240" s="83">
        <f>C231+C237</f>
        <v>3184.9551936811108</v>
      </c>
      <c r="D240" s="83">
        <f t="shared" ref="D240:BP241" si="264">D231+D237</f>
        <v>0</v>
      </c>
      <c r="E240" s="83">
        <f t="shared" si="264"/>
        <v>0</v>
      </c>
      <c r="F240" s="83">
        <f t="shared" si="264"/>
        <v>0</v>
      </c>
      <c r="G240" s="83">
        <f t="shared" si="264"/>
        <v>0</v>
      </c>
      <c r="H240" s="83">
        <f t="shared" si="264"/>
        <v>0</v>
      </c>
      <c r="I240" s="83">
        <f t="shared" si="264"/>
        <v>121.87474941586049</v>
      </c>
      <c r="J240" s="83">
        <f t="shared" si="264"/>
        <v>0</v>
      </c>
      <c r="K240" s="83">
        <f t="shared" si="264"/>
        <v>0</v>
      </c>
      <c r="L240" s="83">
        <f t="shared" si="264"/>
        <v>0</v>
      </c>
      <c r="M240" s="83">
        <f t="shared" si="264"/>
        <v>0</v>
      </c>
      <c r="N240" s="83">
        <f t="shared" si="264"/>
        <v>121.87474941586049</v>
      </c>
      <c r="O240" s="83">
        <f t="shared" si="264"/>
        <v>0</v>
      </c>
      <c r="P240" s="83">
        <f t="shared" si="264"/>
        <v>0</v>
      </c>
      <c r="Q240" s="83">
        <f t="shared" si="264"/>
        <v>0</v>
      </c>
      <c r="R240" s="83">
        <f t="shared" si="264"/>
        <v>0</v>
      </c>
      <c r="S240" s="83">
        <f t="shared" si="264"/>
        <v>0</v>
      </c>
      <c r="T240" s="83">
        <f t="shared" si="264"/>
        <v>0</v>
      </c>
      <c r="U240" s="83">
        <f t="shared" si="264"/>
        <v>0</v>
      </c>
      <c r="V240" s="83">
        <f t="shared" si="264"/>
        <v>0</v>
      </c>
      <c r="W240" s="83">
        <f t="shared" si="264"/>
        <v>0</v>
      </c>
      <c r="X240" s="83">
        <f t="shared" si="264"/>
        <v>0</v>
      </c>
      <c r="Y240" s="83">
        <f t="shared" si="264"/>
        <v>0</v>
      </c>
      <c r="Z240" s="83">
        <f t="shared" si="264"/>
        <v>0</v>
      </c>
      <c r="AA240" s="83">
        <f t="shared" si="264"/>
        <v>0</v>
      </c>
      <c r="AB240" s="83">
        <f t="shared" si="264"/>
        <v>1750.2906920229527</v>
      </c>
      <c r="AC240" s="83">
        <f t="shared" si="264"/>
        <v>0</v>
      </c>
      <c r="AD240" s="83">
        <f t="shared" si="264"/>
        <v>0</v>
      </c>
      <c r="AE240" s="83" t="e">
        <f t="shared" ref="AE240" si="265">AE231+AE237</f>
        <v>#DIV/0!</v>
      </c>
      <c r="AF240" s="83">
        <f t="shared" si="264"/>
        <v>0</v>
      </c>
      <c r="AG240" s="83">
        <f t="shared" si="264"/>
        <v>372.8334373684138</v>
      </c>
      <c r="AH240" s="83">
        <f t="shared" si="264"/>
        <v>0</v>
      </c>
      <c r="AI240" s="83">
        <f t="shared" si="264"/>
        <v>0</v>
      </c>
      <c r="AJ240" s="83">
        <f t="shared" si="264"/>
        <v>0</v>
      </c>
      <c r="AK240" s="83">
        <f t="shared" si="264"/>
        <v>0</v>
      </c>
      <c r="AL240" s="83">
        <f t="shared" si="264"/>
        <v>0</v>
      </c>
      <c r="AM240" s="83">
        <f t="shared" si="264"/>
        <v>0</v>
      </c>
      <c r="AN240" s="83">
        <f t="shared" si="264"/>
        <v>0</v>
      </c>
      <c r="AO240" s="83">
        <f t="shared" si="264"/>
        <v>0</v>
      </c>
      <c r="AP240" s="83">
        <f t="shared" si="264"/>
        <v>0</v>
      </c>
      <c r="AQ240" s="83">
        <f t="shared" si="264"/>
        <v>0</v>
      </c>
      <c r="AR240" s="83">
        <f t="shared" si="264"/>
        <v>0</v>
      </c>
      <c r="AS240" s="83">
        <f t="shared" si="264"/>
        <v>0</v>
      </c>
      <c r="AT240" s="83">
        <f t="shared" si="264"/>
        <v>5681.988758817135</v>
      </c>
      <c r="AU240" s="83">
        <f t="shared" si="264"/>
        <v>0</v>
      </c>
      <c r="AV240" s="83">
        <f t="shared" si="264"/>
        <v>0</v>
      </c>
      <c r="AW240" s="83">
        <f t="shared" si="264"/>
        <v>0</v>
      </c>
      <c r="AX240" s="83">
        <f t="shared" si="264"/>
        <v>0</v>
      </c>
      <c r="AY240" s="83">
        <f t="shared" si="264"/>
        <v>0</v>
      </c>
      <c r="AZ240" s="83">
        <f t="shared" si="264"/>
        <v>0</v>
      </c>
      <c r="BA240" s="83">
        <f t="shared" si="264"/>
        <v>0</v>
      </c>
      <c r="BB240" s="83">
        <f t="shared" si="264"/>
        <v>0</v>
      </c>
      <c r="BC240" s="83">
        <f t="shared" si="264"/>
        <v>0</v>
      </c>
      <c r="BD240" s="83">
        <f t="shared" si="264"/>
        <v>0</v>
      </c>
      <c r="BE240" s="83">
        <f t="shared" si="264"/>
        <v>0</v>
      </c>
      <c r="BF240" s="83">
        <f t="shared" si="264"/>
        <v>0</v>
      </c>
      <c r="BG240" s="83">
        <f t="shared" si="264"/>
        <v>0</v>
      </c>
      <c r="BH240" s="83">
        <f t="shared" si="264"/>
        <v>0</v>
      </c>
      <c r="BI240" s="83">
        <f t="shared" si="264"/>
        <v>0</v>
      </c>
      <c r="BJ240" s="83">
        <f t="shared" si="264"/>
        <v>0</v>
      </c>
      <c r="BK240" s="83">
        <f t="shared" si="264"/>
        <v>0</v>
      </c>
      <c r="BL240" s="83">
        <f t="shared" si="264"/>
        <v>0</v>
      </c>
      <c r="BM240" s="83">
        <f t="shared" si="264"/>
        <v>0</v>
      </c>
      <c r="BN240" s="83">
        <f t="shared" si="264"/>
        <v>0</v>
      </c>
      <c r="BO240" s="83">
        <f t="shared" si="264"/>
        <v>0</v>
      </c>
      <c r="BP240" s="83">
        <f t="shared" si="264"/>
        <v>2788.091125909923</v>
      </c>
      <c r="BQ240" s="83">
        <f t="shared" ref="BQ240:BZ241" si="266">BQ231+BQ237</f>
        <v>3174.7332091067965</v>
      </c>
      <c r="BR240" s="83">
        <f t="shared" si="266"/>
        <v>0</v>
      </c>
      <c r="BS240" s="83">
        <f t="shared" si="266"/>
        <v>6261.521484261948</v>
      </c>
      <c r="BT240" s="83">
        <f t="shared" si="266"/>
        <v>0</v>
      </c>
      <c r="BU240" s="83">
        <f t="shared" si="266"/>
        <v>0</v>
      </c>
      <c r="BV240" s="83">
        <f t="shared" si="266"/>
        <v>0</v>
      </c>
      <c r="BW240" s="83">
        <f t="shared" si="266"/>
        <v>0</v>
      </c>
      <c r="BX240" s="83">
        <f t="shared" si="266"/>
        <v>0</v>
      </c>
      <c r="BY240" s="83">
        <f t="shared" si="266"/>
        <v>0</v>
      </c>
      <c r="BZ240" s="83">
        <f t="shared" si="266"/>
        <v>0</v>
      </c>
      <c r="CA240" s="83" t="e">
        <f t="shared" si="215"/>
        <v>#DIV/0!</v>
      </c>
    </row>
    <row r="241" spans="1:81">
      <c r="A241" t="s">
        <v>180</v>
      </c>
      <c r="C241" s="83">
        <f>C232+C238</f>
        <v>5854.9795581622993</v>
      </c>
      <c r="D241" s="83">
        <f t="shared" si="264"/>
        <v>450.69276212339707</v>
      </c>
      <c r="E241" s="83">
        <f t="shared" si="264"/>
        <v>67.522095452846045</v>
      </c>
      <c r="F241" s="83">
        <f t="shared" si="264"/>
        <v>80.290144752443524</v>
      </c>
      <c r="G241" s="83">
        <f t="shared" si="264"/>
        <v>0</v>
      </c>
      <c r="H241" s="83">
        <f t="shared" si="264"/>
        <v>86.620341201147838</v>
      </c>
      <c r="I241" s="83">
        <f t="shared" si="264"/>
        <v>172.68086911091368</v>
      </c>
      <c r="J241" s="83">
        <f t="shared" si="264"/>
        <v>426.53466547221939</v>
      </c>
      <c r="K241" s="83">
        <f t="shared" si="264"/>
        <v>89.613189181997839</v>
      </c>
      <c r="L241" s="83">
        <f t="shared" si="264"/>
        <v>21.466686596456476</v>
      </c>
      <c r="M241" s="83">
        <f t="shared" si="264"/>
        <v>84.079650109490998</v>
      </c>
      <c r="N241" s="83">
        <f t="shared" si="264"/>
        <v>220.73868704801581</v>
      </c>
      <c r="O241" s="83">
        <f t="shared" si="264"/>
        <v>31.263419195641724</v>
      </c>
      <c r="P241" s="83">
        <f t="shared" si="264"/>
        <v>3.1435669439143883</v>
      </c>
      <c r="Q241" s="83">
        <f t="shared" si="264"/>
        <v>4.6076940136827336</v>
      </c>
      <c r="R241" s="83">
        <f t="shared" si="264"/>
        <v>4.6076940136827336</v>
      </c>
      <c r="S241" s="83">
        <f t="shared" si="264"/>
        <v>1.9162839589615108</v>
      </c>
      <c r="T241" s="83">
        <f t="shared" si="264"/>
        <v>0</v>
      </c>
      <c r="U241" s="83">
        <f t="shared" si="264"/>
        <v>75.854700982262926</v>
      </c>
      <c r="V241" s="83">
        <f t="shared" si="264"/>
        <v>0</v>
      </c>
      <c r="W241" s="83">
        <f t="shared" si="264"/>
        <v>0</v>
      </c>
      <c r="X241" s="83">
        <f t="shared" si="264"/>
        <v>159.50372548299856</v>
      </c>
      <c r="Y241" s="83">
        <f t="shared" si="264"/>
        <v>0</v>
      </c>
      <c r="Z241" s="83">
        <f t="shared" si="264"/>
        <v>42.438153742844243</v>
      </c>
      <c r="AA241" s="83">
        <f t="shared" si="264"/>
        <v>31.048106391264028</v>
      </c>
      <c r="AB241" s="83">
        <f t="shared" si="264"/>
        <v>271.42332119852591</v>
      </c>
      <c r="AC241" s="83">
        <f t="shared" si="264"/>
        <v>0</v>
      </c>
      <c r="AD241" s="83">
        <f t="shared" si="264"/>
        <v>0</v>
      </c>
      <c r="AE241" s="83" t="e">
        <f t="shared" ref="AE241" si="267">AE232+AE238</f>
        <v>#DIV/0!</v>
      </c>
      <c r="AF241" s="83">
        <f t="shared" si="264"/>
        <v>0</v>
      </c>
      <c r="AG241" s="83">
        <f t="shared" si="264"/>
        <v>260.87299378401866</v>
      </c>
      <c r="AH241" s="83">
        <f t="shared" si="264"/>
        <v>115.7306323530126</v>
      </c>
      <c r="AI241" s="83">
        <f t="shared" si="264"/>
        <v>0</v>
      </c>
      <c r="AJ241" s="83">
        <f t="shared" si="264"/>
        <v>0</v>
      </c>
      <c r="AK241" s="83">
        <f t="shared" si="264"/>
        <v>0</v>
      </c>
      <c r="AL241" s="83">
        <f t="shared" si="264"/>
        <v>0</v>
      </c>
      <c r="AM241" s="83">
        <f t="shared" si="264"/>
        <v>0</v>
      </c>
      <c r="AN241" s="83">
        <f t="shared" si="264"/>
        <v>0</v>
      </c>
      <c r="AO241" s="83">
        <f t="shared" si="264"/>
        <v>0</v>
      </c>
      <c r="AP241" s="83">
        <f t="shared" si="264"/>
        <v>0</v>
      </c>
      <c r="AQ241" s="83">
        <f t="shared" si="264"/>
        <v>0.86125121751079137</v>
      </c>
      <c r="AR241" s="83">
        <f t="shared" si="264"/>
        <v>37.335240279092801</v>
      </c>
      <c r="AS241" s="83">
        <f t="shared" si="264"/>
        <v>0</v>
      </c>
      <c r="AT241" s="83">
        <f t="shared" si="264"/>
        <v>20.94993586595</v>
      </c>
      <c r="AU241" s="83">
        <f t="shared" si="264"/>
        <v>0</v>
      </c>
      <c r="AV241" s="83">
        <f t="shared" si="264"/>
        <v>0</v>
      </c>
      <c r="AW241" s="83">
        <f t="shared" si="264"/>
        <v>49.177444519866185</v>
      </c>
      <c r="AX241" s="83">
        <f t="shared" si="264"/>
        <v>0</v>
      </c>
      <c r="AY241" s="83">
        <f t="shared" si="264"/>
        <v>0</v>
      </c>
      <c r="AZ241" s="83">
        <f t="shared" si="264"/>
        <v>14.124519967176978</v>
      </c>
      <c r="BA241" s="83">
        <f t="shared" si="264"/>
        <v>0</v>
      </c>
      <c r="BB241" s="83">
        <f t="shared" si="264"/>
        <v>0</v>
      </c>
      <c r="BC241" s="83">
        <f t="shared" si="264"/>
        <v>0</v>
      </c>
      <c r="BD241" s="83">
        <f t="shared" si="264"/>
        <v>0</v>
      </c>
      <c r="BE241" s="83">
        <f t="shared" si="264"/>
        <v>0</v>
      </c>
      <c r="BF241" s="83">
        <f t="shared" si="264"/>
        <v>0</v>
      </c>
      <c r="BG241" s="83">
        <f t="shared" si="264"/>
        <v>0</v>
      </c>
      <c r="BH241" s="83">
        <f t="shared" si="264"/>
        <v>44.698938188810075</v>
      </c>
      <c r="BI241" s="83">
        <f t="shared" si="264"/>
        <v>0</v>
      </c>
      <c r="BJ241" s="83">
        <f t="shared" si="264"/>
        <v>20.217872331065827</v>
      </c>
      <c r="BK241" s="83">
        <f t="shared" si="264"/>
        <v>13.478581554043883</v>
      </c>
      <c r="BL241" s="83">
        <f t="shared" si="264"/>
        <v>0</v>
      </c>
      <c r="BM241" s="83">
        <f t="shared" si="264"/>
        <v>0</v>
      </c>
      <c r="BN241" s="83">
        <f t="shared" si="264"/>
        <v>0</v>
      </c>
      <c r="BO241" s="83">
        <f t="shared" si="264"/>
        <v>0</v>
      </c>
      <c r="BP241" s="83">
        <f t="shared" si="264"/>
        <v>11.626891436395683</v>
      </c>
      <c r="BQ241" s="83">
        <f t="shared" si="266"/>
        <v>10.098170525314028</v>
      </c>
      <c r="BR241" s="83">
        <f t="shared" si="266"/>
        <v>9.4307008317431649</v>
      </c>
      <c r="BS241" s="83">
        <f t="shared" si="266"/>
        <v>35.526612722320145</v>
      </c>
      <c r="BT241" s="83">
        <f t="shared" si="266"/>
        <v>43.708499288672662</v>
      </c>
      <c r="BU241" s="83">
        <f t="shared" si="266"/>
        <v>0</v>
      </c>
      <c r="BV241" s="83">
        <f t="shared" si="266"/>
        <v>0</v>
      </c>
      <c r="BW241" s="83">
        <f t="shared" si="266"/>
        <v>0</v>
      </c>
      <c r="BX241" s="83">
        <f t="shared" si="266"/>
        <v>0</v>
      </c>
      <c r="BY241" s="83">
        <f t="shared" si="266"/>
        <v>0</v>
      </c>
      <c r="BZ241" s="83">
        <f t="shared" si="266"/>
        <v>0</v>
      </c>
      <c r="CA241" s="83" t="e">
        <f t="shared" si="215"/>
        <v>#DIV/0!</v>
      </c>
    </row>
    <row r="242" spans="1:81">
      <c r="CA242" s="83"/>
    </row>
    <row r="243" spans="1:81">
      <c r="A243" t="s">
        <v>183</v>
      </c>
      <c r="C243" s="83">
        <v>13426.050000000001</v>
      </c>
      <c r="D243" s="83">
        <v>453.2</v>
      </c>
      <c r="E243" s="83">
        <v>0</v>
      </c>
      <c r="F243" s="83">
        <v>906.4</v>
      </c>
      <c r="G243" s="83">
        <v>0</v>
      </c>
      <c r="H243" s="83">
        <v>0</v>
      </c>
      <c r="I243" s="83">
        <v>0</v>
      </c>
      <c r="J243" s="83">
        <v>0</v>
      </c>
      <c r="K243" s="83">
        <v>0</v>
      </c>
      <c r="L243" s="83">
        <v>0</v>
      </c>
      <c r="M243" s="83">
        <v>0</v>
      </c>
      <c r="N243" s="83">
        <v>0</v>
      </c>
      <c r="O243" s="83">
        <v>0</v>
      </c>
      <c r="P243" s="83">
        <v>0</v>
      </c>
      <c r="Q243" s="83">
        <v>0</v>
      </c>
      <c r="R243" s="83">
        <v>0</v>
      </c>
      <c r="S243" s="83">
        <v>0</v>
      </c>
      <c r="T243" s="83">
        <v>0</v>
      </c>
      <c r="U243" s="83">
        <v>0</v>
      </c>
      <c r="V243" s="83">
        <v>0</v>
      </c>
      <c r="W243" s="83">
        <v>0</v>
      </c>
      <c r="X243" s="83">
        <v>0</v>
      </c>
      <c r="Y243" s="83">
        <v>0</v>
      </c>
      <c r="Z243" s="83">
        <v>0</v>
      </c>
      <c r="AA243" s="83">
        <v>0</v>
      </c>
      <c r="AB243" s="83">
        <v>0</v>
      </c>
      <c r="AC243" s="83">
        <v>0</v>
      </c>
      <c r="AD243" s="83">
        <v>0</v>
      </c>
      <c r="AE243" s="83">
        <v>0</v>
      </c>
      <c r="AF243" s="83">
        <v>0</v>
      </c>
      <c r="AG243" s="83">
        <v>0</v>
      </c>
      <c r="AH243" s="83">
        <v>0</v>
      </c>
      <c r="AI243" s="83">
        <v>0</v>
      </c>
      <c r="AJ243" s="83">
        <v>0</v>
      </c>
      <c r="AK243" s="83">
        <v>0</v>
      </c>
      <c r="AL243" s="83">
        <v>0</v>
      </c>
      <c r="AM243" s="83">
        <v>0</v>
      </c>
      <c r="AN243" s="83">
        <v>0</v>
      </c>
      <c r="AO243" s="83">
        <v>0</v>
      </c>
      <c r="AP243" s="83">
        <v>0</v>
      </c>
      <c r="AQ243" s="83">
        <v>0</v>
      </c>
      <c r="AR243" s="83">
        <v>0</v>
      </c>
      <c r="AS243" s="83">
        <v>0</v>
      </c>
      <c r="AT243" s="83">
        <v>1756.15</v>
      </c>
      <c r="AU243" s="83">
        <v>0</v>
      </c>
      <c r="AV243" s="83">
        <v>0</v>
      </c>
      <c r="AW243" s="83">
        <v>0</v>
      </c>
      <c r="AX243" s="83">
        <v>0</v>
      </c>
      <c r="AY243" s="83">
        <v>0</v>
      </c>
      <c r="AZ243" s="83">
        <v>0</v>
      </c>
      <c r="BA243" s="83">
        <v>0</v>
      </c>
      <c r="BB243" s="83">
        <v>0</v>
      </c>
      <c r="BC243" s="83">
        <v>0</v>
      </c>
      <c r="BD243" s="83">
        <v>0</v>
      </c>
      <c r="BE243" s="83">
        <v>0</v>
      </c>
      <c r="BF243" s="83">
        <v>0</v>
      </c>
      <c r="BG243" s="83">
        <v>0</v>
      </c>
      <c r="BH243" s="83">
        <v>0</v>
      </c>
      <c r="BI243" s="83">
        <v>0</v>
      </c>
      <c r="BJ243" s="83">
        <v>0</v>
      </c>
      <c r="BK243" s="83">
        <v>0</v>
      </c>
      <c r="BL243" s="83">
        <v>0</v>
      </c>
      <c r="BM243" s="83">
        <v>0</v>
      </c>
      <c r="BN243" s="83">
        <v>0</v>
      </c>
      <c r="BO243" s="83">
        <v>0</v>
      </c>
      <c r="BP243" s="83">
        <v>0</v>
      </c>
      <c r="BQ243" s="83">
        <v>0</v>
      </c>
      <c r="BR243" s="83">
        <v>0</v>
      </c>
      <c r="BS243" s="83">
        <v>283.25</v>
      </c>
      <c r="BT243" s="83">
        <v>0</v>
      </c>
      <c r="BU243" s="83">
        <v>0</v>
      </c>
      <c r="BV243" s="83">
        <v>0</v>
      </c>
      <c r="BW243" s="83">
        <v>0</v>
      </c>
      <c r="BX243" s="83">
        <v>0</v>
      </c>
      <c r="BY243" s="83">
        <v>0</v>
      </c>
      <c r="BZ243" s="83">
        <v>0</v>
      </c>
      <c r="CA243" s="83">
        <f t="shared" si="215"/>
        <v>16825.050000000003</v>
      </c>
      <c r="CB243" s="83">
        <v>1980</v>
      </c>
      <c r="CC243" s="94">
        <f>SUM(CA243:CB243)</f>
        <v>18805.050000000003</v>
      </c>
    </row>
    <row r="244" spans="1:81">
      <c r="A244" t="s">
        <v>184</v>
      </c>
      <c r="C244" s="83">
        <v>6205.5440000000008</v>
      </c>
      <c r="D244" s="83">
        <v>3356.6670000000004</v>
      </c>
      <c r="E244" s="83">
        <v>838.25520000000006</v>
      </c>
      <c r="F244" s="83">
        <v>1312.4260000000002</v>
      </c>
      <c r="G244" s="83">
        <v>395.16980000000001</v>
      </c>
      <c r="H244" s="83">
        <v>844.53820000000007</v>
      </c>
      <c r="I244" s="83">
        <v>1765.3170000000002</v>
      </c>
      <c r="J244" s="83">
        <v>3556.4870000000001</v>
      </c>
      <c r="K244" s="83">
        <v>1551.2624000000001</v>
      </c>
      <c r="L244" s="83">
        <v>444.11540000000002</v>
      </c>
      <c r="M244" s="83">
        <v>833.80560000000003</v>
      </c>
      <c r="N244" s="83">
        <v>2001.2282</v>
      </c>
      <c r="O244" s="83">
        <v>216.1146</v>
      </c>
      <c r="P244" s="83">
        <v>0</v>
      </c>
      <c r="Q244" s="83">
        <v>0</v>
      </c>
      <c r="R244" s="83">
        <v>0</v>
      </c>
      <c r="S244" s="83">
        <v>19.858400000000003</v>
      </c>
      <c r="T244" s="83">
        <v>0</v>
      </c>
      <c r="U244" s="83">
        <v>483.48199999999997</v>
      </c>
      <c r="V244" s="83">
        <v>0</v>
      </c>
      <c r="W244" s="83">
        <v>0</v>
      </c>
      <c r="X244" s="83">
        <v>1446.4908</v>
      </c>
      <c r="Y244" s="83">
        <v>0</v>
      </c>
      <c r="Z244" s="83">
        <v>0</v>
      </c>
      <c r="AA244" s="83">
        <v>0</v>
      </c>
      <c r="AB244" s="83">
        <v>2955.1523999999999</v>
      </c>
      <c r="AC244" s="83">
        <v>0</v>
      </c>
      <c r="AD244" s="83">
        <v>0</v>
      </c>
      <c r="AE244" s="83">
        <v>0</v>
      </c>
      <c r="AF244" s="83">
        <v>0</v>
      </c>
      <c r="AG244" s="83">
        <v>2625.9232000000002</v>
      </c>
      <c r="AH244" s="83">
        <v>1171.5632000000001</v>
      </c>
      <c r="AI244" s="83">
        <v>0</v>
      </c>
      <c r="AJ244" s="83">
        <v>0</v>
      </c>
      <c r="AK244" s="83">
        <v>0</v>
      </c>
      <c r="AL244" s="83">
        <v>0</v>
      </c>
      <c r="AM244" s="83">
        <v>0</v>
      </c>
      <c r="AN244" s="83">
        <v>0</v>
      </c>
      <c r="AO244" s="83">
        <v>0</v>
      </c>
      <c r="AP244" s="83">
        <v>0</v>
      </c>
      <c r="AQ244" s="83">
        <v>26.3474</v>
      </c>
      <c r="AR244" s="83">
        <v>325.274</v>
      </c>
      <c r="AS244" s="83">
        <v>0</v>
      </c>
      <c r="AT244" s="83">
        <v>321.46300000000002</v>
      </c>
      <c r="AU244" s="83">
        <v>0</v>
      </c>
      <c r="AV244" s="83">
        <v>0</v>
      </c>
      <c r="AW244" s="83">
        <v>835.24760000000003</v>
      </c>
      <c r="AX244" s="83">
        <v>0</v>
      </c>
      <c r="AY244" s="83">
        <v>0</v>
      </c>
      <c r="AZ244" s="83">
        <v>0</v>
      </c>
      <c r="BA244" s="83">
        <v>0</v>
      </c>
      <c r="BB244" s="83">
        <v>0</v>
      </c>
      <c r="BC244" s="83">
        <v>0</v>
      </c>
      <c r="BD244" s="83">
        <v>0</v>
      </c>
      <c r="BE244" s="83">
        <v>0</v>
      </c>
      <c r="BF244" s="83">
        <v>0</v>
      </c>
      <c r="BG244" s="83">
        <v>0</v>
      </c>
      <c r="BH244" s="83">
        <v>0</v>
      </c>
      <c r="BI244" s="83">
        <v>0</v>
      </c>
      <c r="BJ244" s="83">
        <v>700.93560000000002</v>
      </c>
      <c r="BK244" s="83">
        <v>0</v>
      </c>
      <c r="BL244" s="83">
        <v>0</v>
      </c>
      <c r="BM244" s="83">
        <v>2158.4474</v>
      </c>
      <c r="BN244" s="83">
        <v>0</v>
      </c>
      <c r="BO244" s="83">
        <v>0</v>
      </c>
      <c r="BP244" s="83">
        <v>179.81740000000002</v>
      </c>
      <c r="BQ244" s="83">
        <v>179.81740000000002</v>
      </c>
      <c r="BR244" s="83">
        <v>195.57640000000001</v>
      </c>
      <c r="BS244" s="83">
        <v>384.2106</v>
      </c>
      <c r="BT244" s="83">
        <v>801.66960000000006</v>
      </c>
      <c r="BU244" s="83">
        <v>0</v>
      </c>
      <c r="BV244" s="83">
        <v>0</v>
      </c>
      <c r="BW244" s="83">
        <v>0</v>
      </c>
      <c r="BX244" s="83">
        <v>0</v>
      </c>
      <c r="BY244" s="83">
        <v>0</v>
      </c>
      <c r="BZ244" s="83">
        <v>0</v>
      </c>
      <c r="CA244" s="83">
        <f t="shared" si="215"/>
        <v>38132.206799999993</v>
      </c>
      <c r="CB244" s="83">
        <v>5354.9</v>
      </c>
      <c r="CC244" s="94">
        <f>SUM(CA244:CB244)</f>
        <v>43487.106799999994</v>
      </c>
    </row>
    <row r="245" spans="1:81">
      <c r="CA245" s="83"/>
    </row>
    <row r="246" spans="1:81">
      <c r="A246" t="s">
        <v>183</v>
      </c>
      <c r="C246" s="77">
        <f t="shared" ref="C246:AD246" si="268">C243/$CA$243</f>
        <v>0.7979797979797979</v>
      </c>
      <c r="D246" s="77">
        <f t="shared" si="268"/>
        <v>2.6936026936026931E-2</v>
      </c>
      <c r="E246" s="77">
        <f t="shared" si="268"/>
        <v>0</v>
      </c>
      <c r="F246" s="77">
        <f t="shared" si="268"/>
        <v>5.3872053872053863E-2</v>
      </c>
      <c r="G246" s="77">
        <f t="shared" si="268"/>
        <v>0</v>
      </c>
      <c r="H246" s="77">
        <f t="shared" si="268"/>
        <v>0</v>
      </c>
      <c r="I246" s="77">
        <f t="shared" si="268"/>
        <v>0</v>
      </c>
      <c r="J246" s="77">
        <f t="shared" si="268"/>
        <v>0</v>
      </c>
      <c r="K246" s="77">
        <f t="shared" si="268"/>
        <v>0</v>
      </c>
      <c r="L246" s="77">
        <f t="shared" si="268"/>
        <v>0</v>
      </c>
      <c r="M246" s="77">
        <f t="shared" si="268"/>
        <v>0</v>
      </c>
      <c r="N246" s="77">
        <f t="shared" si="268"/>
        <v>0</v>
      </c>
      <c r="O246" s="77">
        <f t="shared" si="268"/>
        <v>0</v>
      </c>
      <c r="P246" s="77">
        <f t="shared" si="268"/>
        <v>0</v>
      </c>
      <c r="Q246" s="77">
        <f t="shared" si="268"/>
        <v>0</v>
      </c>
      <c r="R246" s="77">
        <f t="shared" si="268"/>
        <v>0</v>
      </c>
      <c r="S246" s="77">
        <f t="shared" si="268"/>
        <v>0</v>
      </c>
      <c r="T246" s="77">
        <f t="shared" si="268"/>
        <v>0</v>
      </c>
      <c r="U246" s="77">
        <f t="shared" si="268"/>
        <v>0</v>
      </c>
      <c r="V246" s="77">
        <f t="shared" si="268"/>
        <v>0</v>
      </c>
      <c r="W246" s="77">
        <f t="shared" si="268"/>
        <v>0</v>
      </c>
      <c r="X246" s="77">
        <f t="shared" si="268"/>
        <v>0</v>
      </c>
      <c r="Y246" s="77">
        <f t="shared" si="268"/>
        <v>0</v>
      </c>
      <c r="Z246" s="77">
        <f t="shared" si="268"/>
        <v>0</v>
      </c>
      <c r="AA246" s="77">
        <f t="shared" si="268"/>
        <v>0</v>
      </c>
      <c r="AB246" s="77">
        <f t="shared" si="268"/>
        <v>0</v>
      </c>
      <c r="AC246" s="77">
        <f t="shared" si="268"/>
        <v>0</v>
      </c>
      <c r="AD246" s="77">
        <f t="shared" si="268"/>
        <v>0</v>
      </c>
      <c r="AE246" s="77" t="e">
        <f>AE243/$BI$243</f>
        <v>#DIV/0!</v>
      </c>
      <c r="AF246" s="77">
        <f t="shared" ref="AF246:BP246" si="269">AF243/$CA$243</f>
        <v>0</v>
      </c>
      <c r="AG246" s="77">
        <f t="shared" si="269"/>
        <v>0</v>
      </c>
      <c r="AH246" s="77">
        <f t="shared" si="269"/>
        <v>0</v>
      </c>
      <c r="AI246" s="77">
        <f t="shared" si="269"/>
        <v>0</v>
      </c>
      <c r="AJ246" s="77">
        <f t="shared" si="269"/>
        <v>0</v>
      </c>
      <c r="AK246" s="77">
        <f t="shared" si="269"/>
        <v>0</v>
      </c>
      <c r="AL246" s="77">
        <f t="shared" si="269"/>
        <v>0</v>
      </c>
      <c r="AM246" s="77">
        <f t="shared" si="269"/>
        <v>0</v>
      </c>
      <c r="AN246" s="77">
        <f t="shared" si="269"/>
        <v>0</v>
      </c>
      <c r="AO246" s="77">
        <f t="shared" si="269"/>
        <v>0</v>
      </c>
      <c r="AP246" s="77">
        <f t="shared" si="269"/>
        <v>0</v>
      </c>
      <c r="AQ246" s="77">
        <f t="shared" si="269"/>
        <v>0</v>
      </c>
      <c r="AR246" s="77">
        <f t="shared" si="269"/>
        <v>0</v>
      </c>
      <c r="AS246" s="77">
        <f t="shared" si="269"/>
        <v>0</v>
      </c>
      <c r="AT246" s="77">
        <f t="shared" si="269"/>
        <v>0.10437710437710436</v>
      </c>
      <c r="AU246" s="77">
        <f t="shared" si="269"/>
        <v>0</v>
      </c>
      <c r="AV246" s="77">
        <f t="shared" si="269"/>
        <v>0</v>
      </c>
      <c r="AW246" s="77">
        <f t="shared" si="269"/>
        <v>0</v>
      </c>
      <c r="AX246" s="77">
        <f t="shared" si="269"/>
        <v>0</v>
      </c>
      <c r="AY246" s="77">
        <f t="shared" si="269"/>
        <v>0</v>
      </c>
      <c r="AZ246" s="77">
        <f t="shared" si="269"/>
        <v>0</v>
      </c>
      <c r="BA246" s="77">
        <f t="shared" si="269"/>
        <v>0</v>
      </c>
      <c r="BB246" s="77">
        <f t="shared" si="269"/>
        <v>0</v>
      </c>
      <c r="BC246" s="77">
        <f t="shared" si="269"/>
        <v>0</v>
      </c>
      <c r="BD246" s="77">
        <f t="shared" si="269"/>
        <v>0</v>
      </c>
      <c r="BE246" s="77">
        <f t="shared" si="269"/>
        <v>0</v>
      </c>
      <c r="BF246" s="77">
        <f t="shared" si="269"/>
        <v>0</v>
      </c>
      <c r="BG246" s="77">
        <f t="shared" si="269"/>
        <v>0</v>
      </c>
      <c r="BH246" s="77">
        <f t="shared" si="269"/>
        <v>0</v>
      </c>
      <c r="BI246" s="77">
        <f t="shared" si="269"/>
        <v>0</v>
      </c>
      <c r="BJ246" s="77">
        <f t="shared" si="269"/>
        <v>0</v>
      </c>
      <c r="BK246" s="77">
        <f t="shared" si="269"/>
        <v>0</v>
      </c>
      <c r="BL246" s="77">
        <f t="shared" si="269"/>
        <v>0</v>
      </c>
      <c r="BM246" s="77">
        <f t="shared" si="269"/>
        <v>0</v>
      </c>
      <c r="BN246" s="77">
        <f t="shared" si="269"/>
        <v>0</v>
      </c>
      <c r="BO246" s="77">
        <f t="shared" si="269"/>
        <v>0</v>
      </c>
      <c r="BP246" s="77">
        <f t="shared" si="269"/>
        <v>0</v>
      </c>
      <c r="BQ246" s="77">
        <f t="shared" ref="BQ246:BZ246" si="270">BQ243/$CA$243</f>
        <v>0</v>
      </c>
      <c r="BR246" s="77">
        <f t="shared" si="270"/>
        <v>0</v>
      </c>
      <c r="BS246" s="77">
        <f t="shared" si="270"/>
        <v>1.6835016835016831E-2</v>
      </c>
      <c r="BT246" s="77">
        <f t="shared" si="270"/>
        <v>0</v>
      </c>
      <c r="BU246" s="77">
        <f t="shared" si="270"/>
        <v>0</v>
      </c>
      <c r="BV246" s="77">
        <f t="shared" si="270"/>
        <v>0</v>
      </c>
      <c r="BW246" s="77">
        <f t="shared" si="270"/>
        <v>0</v>
      </c>
      <c r="BX246" s="77">
        <f t="shared" si="270"/>
        <v>0</v>
      </c>
      <c r="BY246" s="77">
        <f t="shared" si="270"/>
        <v>0</v>
      </c>
      <c r="BZ246" s="77">
        <f t="shared" si="270"/>
        <v>0</v>
      </c>
      <c r="CA246" s="77" t="e">
        <f t="shared" si="215"/>
        <v>#DIV/0!</v>
      </c>
    </row>
    <row r="247" spans="1:81">
      <c r="A247" t="s">
        <v>184</v>
      </c>
      <c r="C247" s="77">
        <f t="shared" ref="C247:AD247" si="271">C244/$CA$244</f>
        <v>0.16273760479028981</v>
      </c>
      <c r="D247" s="77">
        <f t="shared" si="271"/>
        <v>8.8027084758178775E-2</v>
      </c>
      <c r="E247" s="77">
        <f t="shared" si="271"/>
        <v>2.1982866200127717E-2</v>
      </c>
      <c r="F247" s="77">
        <f t="shared" si="271"/>
        <v>3.4417782502952347E-2</v>
      </c>
      <c r="G247" s="77">
        <f t="shared" si="271"/>
        <v>1.0363150553353238E-2</v>
      </c>
      <c r="H247" s="77">
        <f t="shared" si="271"/>
        <v>2.2147635053736261E-2</v>
      </c>
      <c r="I247" s="77">
        <f t="shared" si="271"/>
        <v>4.6294645606506063E-2</v>
      </c>
      <c r="J247" s="77">
        <f t="shared" si="271"/>
        <v>9.3267274528680069E-2</v>
      </c>
      <c r="K247" s="77">
        <f t="shared" si="271"/>
        <v>4.0681159843075236E-2</v>
      </c>
      <c r="L247" s="77">
        <f t="shared" si="271"/>
        <v>1.1646726934251287E-2</v>
      </c>
      <c r="M247" s="77">
        <f t="shared" si="271"/>
        <v>2.1866177438227892E-2</v>
      </c>
      <c r="N247" s="77">
        <f t="shared" si="271"/>
        <v>5.2481310890194803E-2</v>
      </c>
      <c r="O247" s="77">
        <f t="shared" si="271"/>
        <v>5.6675083383844454E-3</v>
      </c>
      <c r="P247" s="77">
        <f t="shared" si="271"/>
        <v>0</v>
      </c>
      <c r="Q247" s="77">
        <f t="shared" si="271"/>
        <v>0</v>
      </c>
      <c r="R247" s="77">
        <f t="shared" si="271"/>
        <v>0</v>
      </c>
      <c r="S247" s="77">
        <f t="shared" si="271"/>
        <v>5.2077762255291259E-4</v>
      </c>
      <c r="T247" s="77">
        <f t="shared" si="271"/>
        <v>0</v>
      </c>
      <c r="U247" s="77">
        <f t="shared" si="271"/>
        <v>1.2679098341614996E-2</v>
      </c>
      <c r="V247" s="77">
        <f t="shared" si="271"/>
        <v>0</v>
      </c>
      <c r="W247" s="77">
        <f t="shared" si="271"/>
        <v>0</v>
      </c>
      <c r="X247" s="77">
        <f t="shared" si="271"/>
        <v>3.7933571680934038E-2</v>
      </c>
      <c r="Y247" s="77">
        <f t="shared" si="271"/>
        <v>0</v>
      </c>
      <c r="Z247" s="77">
        <f t="shared" si="271"/>
        <v>0</v>
      </c>
      <c r="AA247" s="77">
        <f t="shared" si="271"/>
        <v>0</v>
      </c>
      <c r="AB247" s="77">
        <f t="shared" si="271"/>
        <v>7.7497544673968369E-2</v>
      </c>
      <c r="AC247" s="77">
        <f t="shared" si="271"/>
        <v>0</v>
      </c>
      <c r="AD247" s="77">
        <f t="shared" si="271"/>
        <v>0</v>
      </c>
      <c r="AE247" s="77" t="e">
        <f>AE244/$BI$244</f>
        <v>#DIV/0!</v>
      </c>
      <c r="AF247" s="77">
        <f t="shared" ref="AF247:BP247" si="272">AF244/$CA$244</f>
        <v>0</v>
      </c>
      <c r="AG247" s="77">
        <f t="shared" si="272"/>
        <v>6.8863656744880569E-2</v>
      </c>
      <c r="AH247" s="77">
        <f t="shared" si="272"/>
        <v>3.0723718827623696E-2</v>
      </c>
      <c r="AI247" s="77">
        <f t="shared" si="272"/>
        <v>0</v>
      </c>
      <c r="AJ247" s="77">
        <f t="shared" si="272"/>
        <v>0</v>
      </c>
      <c r="AK247" s="77">
        <f t="shared" si="272"/>
        <v>0</v>
      </c>
      <c r="AL247" s="77">
        <f t="shared" si="272"/>
        <v>0</v>
      </c>
      <c r="AM247" s="77">
        <f t="shared" si="272"/>
        <v>0</v>
      </c>
      <c r="AN247" s="77">
        <f t="shared" si="272"/>
        <v>0</v>
      </c>
      <c r="AO247" s="77">
        <f t="shared" si="272"/>
        <v>0</v>
      </c>
      <c r="AP247" s="77">
        <f t="shared" si="272"/>
        <v>0</v>
      </c>
      <c r="AQ247" s="77">
        <f t="shared" si="272"/>
        <v>6.9094873365682066E-4</v>
      </c>
      <c r="AR247" s="77">
        <f t="shared" si="272"/>
        <v>8.5301645851768547E-3</v>
      </c>
      <c r="AS247" s="77">
        <f t="shared" si="272"/>
        <v>0</v>
      </c>
      <c r="AT247" s="77">
        <f t="shared" si="272"/>
        <v>8.4302228215126559E-3</v>
      </c>
      <c r="AU247" s="77">
        <f t="shared" si="272"/>
        <v>0</v>
      </c>
      <c r="AV247" s="77">
        <f t="shared" si="272"/>
        <v>0</v>
      </c>
      <c r="AW247" s="77">
        <f t="shared" si="272"/>
        <v>2.1903993240695425E-2</v>
      </c>
      <c r="AX247" s="77">
        <f t="shared" si="272"/>
        <v>0</v>
      </c>
      <c r="AY247" s="77">
        <f t="shared" si="272"/>
        <v>0</v>
      </c>
      <c r="AZ247" s="77">
        <f t="shared" si="272"/>
        <v>0</v>
      </c>
      <c r="BA247" s="77">
        <f t="shared" si="272"/>
        <v>0</v>
      </c>
      <c r="BB247" s="77">
        <f t="shared" si="272"/>
        <v>0</v>
      </c>
      <c r="BC247" s="77">
        <f t="shared" si="272"/>
        <v>0</v>
      </c>
      <c r="BD247" s="77">
        <f t="shared" si="272"/>
        <v>0</v>
      </c>
      <c r="BE247" s="77">
        <f t="shared" si="272"/>
        <v>0</v>
      </c>
      <c r="BF247" s="77">
        <f t="shared" si="272"/>
        <v>0</v>
      </c>
      <c r="BG247" s="77">
        <f t="shared" si="272"/>
        <v>0</v>
      </c>
      <c r="BH247" s="77">
        <f t="shared" si="272"/>
        <v>0</v>
      </c>
      <c r="BI247" s="77">
        <f t="shared" si="272"/>
        <v>0</v>
      </c>
      <c r="BJ247" s="77">
        <f t="shared" si="272"/>
        <v>1.8381721353719297E-2</v>
      </c>
      <c r="BK247" s="77">
        <f t="shared" si="272"/>
        <v>0</v>
      </c>
      <c r="BL247" s="77">
        <f t="shared" si="272"/>
        <v>0</v>
      </c>
      <c r="BM247" s="77">
        <f t="shared" si="272"/>
        <v>5.6604313810655206E-2</v>
      </c>
      <c r="BN247" s="77">
        <f t="shared" si="272"/>
        <v>0</v>
      </c>
      <c r="BO247" s="77">
        <f t="shared" si="272"/>
        <v>0</v>
      </c>
      <c r="BP247" s="77">
        <f t="shared" si="272"/>
        <v>4.7156305677016324E-3</v>
      </c>
      <c r="BQ247" s="77">
        <f t="shared" ref="BQ247:BZ247" si="273">BQ244/$CA$244</f>
        <v>4.7156305677016324E-3</v>
      </c>
      <c r="BR247" s="77">
        <f t="shared" si="273"/>
        <v>5.1289032660968379E-3</v>
      </c>
      <c r="BS247" s="77">
        <f t="shared" si="273"/>
        <v>1.007575045459997E-2</v>
      </c>
      <c r="BT247" s="77">
        <f t="shared" si="273"/>
        <v>2.1023425268951394E-2</v>
      </c>
      <c r="BU247" s="77">
        <f t="shared" si="273"/>
        <v>0</v>
      </c>
      <c r="BV247" s="77">
        <f t="shared" si="273"/>
        <v>0</v>
      </c>
      <c r="BW247" s="77">
        <f t="shared" si="273"/>
        <v>0</v>
      </c>
      <c r="BX247" s="77">
        <f t="shared" si="273"/>
        <v>0</v>
      </c>
      <c r="BY247" s="77">
        <f t="shared" si="273"/>
        <v>0</v>
      </c>
      <c r="BZ247" s="77">
        <f t="shared" si="273"/>
        <v>0</v>
      </c>
      <c r="CA247" s="77" t="e">
        <f t="shared" si="215"/>
        <v>#DIV/0!</v>
      </c>
    </row>
    <row r="248" spans="1:81">
      <c r="CA248" s="83"/>
    </row>
    <row r="249" spans="1:81">
      <c r="A249" t="s">
        <v>183</v>
      </c>
      <c r="C249" s="83">
        <f t="shared" ref="C249:AD249" si="274">$CB$243*C246</f>
        <v>1579.9999999999998</v>
      </c>
      <c r="D249" s="83">
        <f t="shared" si="274"/>
        <v>53.333333333333321</v>
      </c>
      <c r="E249" s="83">
        <f t="shared" si="274"/>
        <v>0</v>
      </c>
      <c r="F249" s="83">
        <f t="shared" si="274"/>
        <v>106.66666666666664</v>
      </c>
      <c r="G249" s="83">
        <f t="shared" si="274"/>
        <v>0</v>
      </c>
      <c r="H249" s="83">
        <f t="shared" si="274"/>
        <v>0</v>
      </c>
      <c r="I249" s="83">
        <f t="shared" si="274"/>
        <v>0</v>
      </c>
      <c r="J249" s="83">
        <f t="shared" si="274"/>
        <v>0</v>
      </c>
      <c r="K249" s="83">
        <f t="shared" si="274"/>
        <v>0</v>
      </c>
      <c r="L249" s="83">
        <f t="shared" si="274"/>
        <v>0</v>
      </c>
      <c r="M249" s="83">
        <f t="shared" si="274"/>
        <v>0</v>
      </c>
      <c r="N249" s="83">
        <f t="shared" si="274"/>
        <v>0</v>
      </c>
      <c r="O249" s="83">
        <f t="shared" si="274"/>
        <v>0</v>
      </c>
      <c r="P249" s="83">
        <f t="shared" si="274"/>
        <v>0</v>
      </c>
      <c r="Q249" s="83">
        <f t="shared" si="274"/>
        <v>0</v>
      </c>
      <c r="R249" s="83">
        <f t="shared" si="274"/>
        <v>0</v>
      </c>
      <c r="S249" s="83">
        <f t="shared" si="274"/>
        <v>0</v>
      </c>
      <c r="T249" s="83">
        <f t="shared" si="274"/>
        <v>0</v>
      </c>
      <c r="U249" s="83">
        <f t="shared" si="274"/>
        <v>0</v>
      </c>
      <c r="V249" s="83">
        <f t="shared" si="274"/>
        <v>0</v>
      </c>
      <c r="W249" s="83">
        <f t="shared" si="274"/>
        <v>0</v>
      </c>
      <c r="X249" s="83">
        <f t="shared" si="274"/>
        <v>0</v>
      </c>
      <c r="Y249" s="83">
        <f t="shared" si="274"/>
        <v>0</v>
      </c>
      <c r="Z249" s="83">
        <f t="shared" si="274"/>
        <v>0</v>
      </c>
      <c r="AA249" s="83">
        <f t="shared" si="274"/>
        <v>0</v>
      </c>
      <c r="AB249" s="83">
        <f t="shared" si="274"/>
        <v>0</v>
      </c>
      <c r="AC249" s="83">
        <f t="shared" si="274"/>
        <v>0</v>
      </c>
      <c r="AD249" s="83">
        <f t="shared" si="274"/>
        <v>0</v>
      </c>
      <c r="AE249" s="83" t="e">
        <f>$BJ$243*AE246</f>
        <v>#DIV/0!</v>
      </c>
      <c r="AF249" s="83">
        <f t="shared" ref="AF249:BP249" si="275">$CB$243*AF246</f>
        <v>0</v>
      </c>
      <c r="AG249" s="83">
        <f t="shared" si="275"/>
        <v>0</v>
      </c>
      <c r="AH249" s="83">
        <f t="shared" si="275"/>
        <v>0</v>
      </c>
      <c r="AI249" s="83">
        <f t="shared" si="275"/>
        <v>0</v>
      </c>
      <c r="AJ249" s="83">
        <f t="shared" si="275"/>
        <v>0</v>
      </c>
      <c r="AK249" s="83">
        <f t="shared" si="275"/>
        <v>0</v>
      </c>
      <c r="AL249" s="83">
        <f t="shared" si="275"/>
        <v>0</v>
      </c>
      <c r="AM249" s="83">
        <f t="shared" si="275"/>
        <v>0</v>
      </c>
      <c r="AN249" s="83">
        <f t="shared" si="275"/>
        <v>0</v>
      </c>
      <c r="AO249" s="83">
        <f t="shared" si="275"/>
        <v>0</v>
      </c>
      <c r="AP249" s="83">
        <f t="shared" si="275"/>
        <v>0</v>
      </c>
      <c r="AQ249" s="83">
        <f t="shared" si="275"/>
        <v>0</v>
      </c>
      <c r="AR249" s="83">
        <f t="shared" si="275"/>
        <v>0</v>
      </c>
      <c r="AS249" s="83">
        <f t="shared" si="275"/>
        <v>0</v>
      </c>
      <c r="AT249" s="83">
        <f t="shared" si="275"/>
        <v>206.66666666666663</v>
      </c>
      <c r="AU249" s="83">
        <f t="shared" si="275"/>
        <v>0</v>
      </c>
      <c r="AV249" s="83">
        <f t="shared" si="275"/>
        <v>0</v>
      </c>
      <c r="AW249" s="83">
        <f t="shared" si="275"/>
        <v>0</v>
      </c>
      <c r="AX249" s="83">
        <f t="shared" si="275"/>
        <v>0</v>
      </c>
      <c r="AY249" s="83">
        <f t="shared" si="275"/>
        <v>0</v>
      </c>
      <c r="AZ249" s="83">
        <f t="shared" si="275"/>
        <v>0</v>
      </c>
      <c r="BA249" s="83">
        <f t="shared" si="275"/>
        <v>0</v>
      </c>
      <c r="BB249" s="83">
        <f t="shared" si="275"/>
        <v>0</v>
      </c>
      <c r="BC249" s="83">
        <f t="shared" si="275"/>
        <v>0</v>
      </c>
      <c r="BD249" s="83">
        <f t="shared" si="275"/>
        <v>0</v>
      </c>
      <c r="BE249" s="83">
        <f t="shared" si="275"/>
        <v>0</v>
      </c>
      <c r="BF249" s="83">
        <f t="shared" si="275"/>
        <v>0</v>
      </c>
      <c r="BG249" s="83">
        <f t="shared" si="275"/>
        <v>0</v>
      </c>
      <c r="BH249" s="83">
        <f t="shared" si="275"/>
        <v>0</v>
      </c>
      <c r="BI249" s="83">
        <f t="shared" si="275"/>
        <v>0</v>
      </c>
      <c r="BJ249" s="83">
        <f t="shared" si="275"/>
        <v>0</v>
      </c>
      <c r="BK249" s="83">
        <f t="shared" si="275"/>
        <v>0</v>
      </c>
      <c r="BL249" s="83">
        <f t="shared" si="275"/>
        <v>0</v>
      </c>
      <c r="BM249" s="83">
        <f t="shared" si="275"/>
        <v>0</v>
      </c>
      <c r="BN249" s="83">
        <f t="shared" si="275"/>
        <v>0</v>
      </c>
      <c r="BO249" s="83">
        <f t="shared" si="275"/>
        <v>0</v>
      </c>
      <c r="BP249" s="83">
        <f t="shared" si="275"/>
        <v>0</v>
      </c>
      <c r="BQ249" s="83">
        <f t="shared" ref="BQ249:BZ249" si="276">$CB$243*BQ246</f>
        <v>0</v>
      </c>
      <c r="BR249" s="83">
        <f t="shared" si="276"/>
        <v>0</v>
      </c>
      <c r="BS249" s="83">
        <f t="shared" si="276"/>
        <v>33.333333333333329</v>
      </c>
      <c r="BT249" s="83">
        <f t="shared" si="276"/>
        <v>0</v>
      </c>
      <c r="BU249" s="83">
        <f t="shared" si="276"/>
        <v>0</v>
      </c>
      <c r="BV249" s="83">
        <f t="shared" si="276"/>
        <v>0</v>
      </c>
      <c r="BW249" s="83">
        <f t="shared" si="276"/>
        <v>0</v>
      </c>
      <c r="BX249" s="83">
        <f t="shared" si="276"/>
        <v>0</v>
      </c>
      <c r="BY249" s="83">
        <f t="shared" si="276"/>
        <v>0</v>
      </c>
      <c r="BZ249" s="83">
        <f t="shared" si="276"/>
        <v>0</v>
      </c>
      <c r="CA249" s="83" t="e">
        <f t="shared" si="215"/>
        <v>#DIV/0!</v>
      </c>
    </row>
    <row r="250" spans="1:81">
      <c r="A250" t="s">
        <v>184</v>
      </c>
      <c r="C250" s="83">
        <f t="shared" ref="C250:AD250" si="277">$CB$244*C247</f>
        <v>871.44359989152281</v>
      </c>
      <c r="D250" s="83">
        <f t="shared" si="277"/>
        <v>471.37623617157146</v>
      </c>
      <c r="E250" s="83">
        <f t="shared" si="277"/>
        <v>117.7160502150639</v>
      </c>
      <c r="F250" s="83">
        <f t="shared" si="277"/>
        <v>184.30378352505952</v>
      </c>
      <c r="G250" s="83">
        <f t="shared" si="277"/>
        <v>55.49363489815125</v>
      </c>
      <c r="H250" s="83">
        <f t="shared" si="277"/>
        <v>118.5983709492523</v>
      </c>
      <c r="I250" s="83">
        <f t="shared" si="277"/>
        <v>247.9031977582793</v>
      </c>
      <c r="J250" s="83">
        <f t="shared" si="277"/>
        <v>499.43692837362886</v>
      </c>
      <c r="K250" s="83">
        <f t="shared" si="277"/>
        <v>217.84354284368357</v>
      </c>
      <c r="L250" s="83">
        <f t="shared" si="277"/>
        <v>62.367058060222213</v>
      </c>
      <c r="M250" s="83">
        <f t="shared" si="277"/>
        <v>117.09119356396653</v>
      </c>
      <c r="N250" s="83">
        <f t="shared" si="277"/>
        <v>281.03217168590413</v>
      </c>
      <c r="O250" s="83">
        <f t="shared" si="277"/>
        <v>30.348940401214865</v>
      </c>
      <c r="P250" s="83">
        <f t="shared" si="277"/>
        <v>0</v>
      </c>
      <c r="Q250" s="83">
        <f t="shared" si="277"/>
        <v>0</v>
      </c>
      <c r="R250" s="83">
        <f t="shared" si="277"/>
        <v>0</v>
      </c>
      <c r="S250" s="83">
        <f t="shared" si="277"/>
        <v>2.7887120910085916</v>
      </c>
      <c r="T250" s="83">
        <f t="shared" si="277"/>
        <v>0</v>
      </c>
      <c r="U250" s="83">
        <f t="shared" si="277"/>
        <v>67.895303709514138</v>
      </c>
      <c r="V250" s="83">
        <f t="shared" si="277"/>
        <v>0</v>
      </c>
      <c r="W250" s="83">
        <f t="shared" si="277"/>
        <v>0</v>
      </c>
      <c r="X250" s="83">
        <f t="shared" si="277"/>
        <v>203.13048299423366</v>
      </c>
      <c r="Y250" s="83">
        <f t="shared" si="277"/>
        <v>0</v>
      </c>
      <c r="Z250" s="83">
        <f t="shared" si="277"/>
        <v>0</v>
      </c>
      <c r="AA250" s="83">
        <f t="shared" si="277"/>
        <v>0</v>
      </c>
      <c r="AB250" s="83">
        <f t="shared" si="277"/>
        <v>414.99160197463317</v>
      </c>
      <c r="AC250" s="83">
        <f t="shared" si="277"/>
        <v>0</v>
      </c>
      <c r="AD250" s="83">
        <f t="shared" si="277"/>
        <v>0</v>
      </c>
      <c r="AE250" s="83" t="e">
        <f>$BJ$244*AE247</f>
        <v>#DIV/0!</v>
      </c>
      <c r="AF250" s="83">
        <f t="shared" ref="AF250:BP250" si="278">$CB$244*AF247</f>
        <v>0</v>
      </c>
      <c r="AG250" s="83">
        <f t="shared" si="278"/>
        <v>368.75799550316094</v>
      </c>
      <c r="AH250" s="83">
        <f t="shared" si="278"/>
        <v>164.52244195004212</v>
      </c>
      <c r="AI250" s="83">
        <f t="shared" si="278"/>
        <v>0</v>
      </c>
      <c r="AJ250" s="83">
        <f t="shared" si="278"/>
        <v>0</v>
      </c>
      <c r="AK250" s="83">
        <f t="shared" si="278"/>
        <v>0</v>
      </c>
      <c r="AL250" s="83">
        <f t="shared" si="278"/>
        <v>0</v>
      </c>
      <c r="AM250" s="83">
        <f t="shared" si="278"/>
        <v>0</v>
      </c>
      <c r="AN250" s="83">
        <f t="shared" si="278"/>
        <v>0</v>
      </c>
      <c r="AO250" s="83">
        <f t="shared" si="278"/>
        <v>0</v>
      </c>
      <c r="AP250" s="83">
        <f t="shared" si="278"/>
        <v>0</v>
      </c>
      <c r="AQ250" s="83">
        <f t="shared" si="278"/>
        <v>3.6999613738589088</v>
      </c>
      <c r="AR250" s="83">
        <f t="shared" si="278"/>
        <v>45.678178337163537</v>
      </c>
      <c r="AS250" s="83">
        <f t="shared" si="278"/>
        <v>0</v>
      </c>
      <c r="AT250" s="83">
        <f t="shared" si="278"/>
        <v>45.143000186918115</v>
      </c>
      <c r="AU250" s="83">
        <f t="shared" si="278"/>
        <v>0</v>
      </c>
      <c r="AV250" s="83">
        <f t="shared" si="278"/>
        <v>0</v>
      </c>
      <c r="AW250" s="83">
        <f t="shared" si="278"/>
        <v>117.29369340459992</v>
      </c>
      <c r="AX250" s="83">
        <f t="shared" si="278"/>
        <v>0</v>
      </c>
      <c r="AY250" s="83">
        <f t="shared" si="278"/>
        <v>0</v>
      </c>
      <c r="AZ250" s="83">
        <f t="shared" si="278"/>
        <v>0</v>
      </c>
      <c r="BA250" s="83">
        <f t="shared" si="278"/>
        <v>0</v>
      </c>
      <c r="BB250" s="83">
        <f t="shared" si="278"/>
        <v>0</v>
      </c>
      <c r="BC250" s="83">
        <f t="shared" si="278"/>
        <v>0</v>
      </c>
      <c r="BD250" s="83">
        <f t="shared" si="278"/>
        <v>0</v>
      </c>
      <c r="BE250" s="83">
        <f t="shared" si="278"/>
        <v>0</v>
      </c>
      <c r="BF250" s="83">
        <f t="shared" si="278"/>
        <v>0</v>
      </c>
      <c r="BG250" s="83">
        <f t="shared" si="278"/>
        <v>0</v>
      </c>
      <c r="BH250" s="83">
        <f t="shared" si="278"/>
        <v>0</v>
      </c>
      <c r="BI250" s="83">
        <f t="shared" si="278"/>
        <v>0</v>
      </c>
      <c r="BJ250" s="83">
        <f t="shared" si="278"/>
        <v>98.43227967703146</v>
      </c>
      <c r="BK250" s="83">
        <f t="shared" si="278"/>
        <v>0</v>
      </c>
      <c r="BL250" s="83">
        <f t="shared" si="278"/>
        <v>0</v>
      </c>
      <c r="BM250" s="83">
        <f t="shared" si="278"/>
        <v>303.11044002467753</v>
      </c>
      <c r="BN250" s="83">
        <f t="shared" si="278"/>
        <v>0</v>
      </c>
      <c r="BO250" s="83">
        <f t="shared" si="278"/>
        <v>0</v>
      </c>
      <c r="BP250" s="83">
        <f t="shared" si="278"/>
        <v>25.251730126985471</v>
      </c>
      <c r="BQ250" s="83">
        <f t="shared" ref="BQ250:BZ250" si="279">$CB$244*BQ247</f>
        <v>25.251730126985471</v>
      </c>
      <c r="BR250" s="83">
        <f t="shared" si="279"/>
        <v>27.464764099621956</v>
      </c>
      <c r="BS250" s="83">
        <f t="shared" si="279"/>
        <v>53.954636109337379</v>
      </c>
      <c r="BT250" s="83">
        <f t="shared" si="279"/>
        <v>112.57833997270781</v>
      </c>
      <c r="BU250" s="83">
        <f t="shared" si="279"/>
        <v>0</v>
      </c>
      <c r="BV250" s="83">
        <f t="shared" si="279"/>
        <v>0</v>
      </c>
      <c r="BW250" s="83">
        <f t="shared" si="279"/>
        <v>0</v>
      </c>
      <c r="BX250" s="83">
        <f t="shared" si="279"/>
        <v>0</v>
      </c>
      <c r="BY250" s="83">
        <f t="shared" si="279"/>
        <v>0</v>
      </c>
      <c r="BZ250" s="83">
        <f t="shared" si="279"/>
        <v>0</v>
      </c>
      <c r="CA250" s="83" t="e">
        <f t="shared" si="215"/>
        <v>#DIV/0!</v>
      </c>
    </row>
    <row r="251" spans="1:81">
      <c r="CA251" s="83"/>
    </row>
    <row r="252" spans="1:81">
      <c r="A252" t="s">
        <v>183</v>
      </c>
      <c r="C252" s="83">
        <f>C243+C249</f>
        <v>15006.050000000001</v>
      </c>
      <c r="D252" s="83">
        <f t="shared" ref="D252:BP253" si="280">D243+D249</f>
        <v>506.5333333333333</v>
      </c>
      <c r="E252" s="83">
        <f t="shared" si="280"/>
        <v>0</v>
      </c>
      <c r="F252" s="83">
        <f t="shared" si="280"/>
        <v>1013.0666666666666</v>
      </c>
      <c r="G252" s="83">
        <f t="shared" si="280"/>
        <v>0</v>
      </c>
      <c r="H252" s="83">
        <f t="shared" si="280"/>
        <v>0</v>
      </c>
      <c r="I252" s="83">
        <f t="shared" si="280"/>
        <v>0</v>
      </c>
      <c r="J252" s="83">
        <f t="shared" si="280"/>
        <v>0</v>
      </c>
      <c r="K252" s="83">
        <f t="shared" si="280"/>
        <v>0</v>
      </c>
      <c r="L252" s="83">
        <f t="shared" si="280"/>
        <v>0</v>
      </c>
      <c r="M252" s="83">
        <f t="shared" si="280"/>
        <v>0</v>
      </c>
      <c r="N252" s="83">
        <f t="shared" si="280"/>
        <v>0</v>
      </c>
      <c r="O252" s="83">
        <f t="shared" si="280"/>
        <v>0</v>
      </c>
      <c r="P252" s="83">
        <f t="shared" si="280"/>
        <v>0</v>
      </c>
      <c r="Q252" s="83">
        <f t="shared" si="280"/>
        <v>0</v>
      </c>
      <c r="R252" s="83">
        <f t="shared" si="280"/>
        <v>0</v>
      </c>
      <c r="S252" s="83">
        <f t="shared" si="280"/>
        <v>0</v>
      </c>
      <c r="T252" s="83">
        <f t="shared" si="280"/>
        <v>0</v>
      </c>
      <c r="U252" s="83">
        <f t="shared" si="280"/>
        <v>0</v>
      </c>
      <c r="V252" s="83">
        <f t="shared" si="280"/>
        <v>0</v>
      </c>
      <c r="W252" s="83">
        <f t="shared" si="280"/>
        <v>0</v>
      </c>
      <c r="X252" s="83">
        <f t="shared" si="280"/>
        <v>0</v>
      </c>
      <c r="Y252" s="83">
        <f t="shared" si="280"/>
        <v>0</v>
      </c>
      <c r="Z252" s="83">
        <f t="shared" si="280"/>
        <v>0</v>
      </c>
      <c r="AA252" s="83">
        <f t="shared" si="280"/>
        <v>0</v>
      </c>
      <c r="AB252" s="83">
        <f t="shared" si="280"/>
        <v>0</v>
      </c>
      <c r="AC252" s="83">
        <f t="shared" si="280"/>
        <v>0</v>
      </c>
      <c r="AD252" s="83">
        <f t="shared" si="280"/>
        <v>0</v>
      </c>
      <c r="AE252" s="83" t="e">
        <f t="shared" ref="AE252" si="281">AE243+AE249</f>
        <v>#DIV/0!</v>
      </c>
      <c r="AF252" s="83">
        <f t="shared" si="280"/>
        <v>0</v>
      </c>
      <c r="AG252" s="83">
        <f t="shared" si="280"/>
        <v>0</v>
      </c>
      <c r="AH252" s="83">
        <f t="shared" si="280"/>
        <v>0</v>
      </c>
      <c r="AI252" s="83">
        <f t="shared" si="280"/>
        <v>0</v>
      </c>
      <c r="AJ252" s="83">
        <f t="shared" si="280"/>
        <v>0</v>
      </c>
      <c r="AK252" s="83">
        <f t="shared" si="280"/>
        <v>0</v>
      </c>
      <c r="AL252" s="83">
        <f t="shared" si="280"/>
        <v>0</v>
      </c>
      <c r="AM252" s="83">
        <f t="shared" si="280"/>
        <v>0</v>
      </c>
      <c r="AN252" s="83">
        <f t="shared" si="280"/>
        <v>0</v>
      </c>
      <c r="AO252" s="83">
        <f t="shared" si="280"/>
        <v>0</v>
      </c>
      <c r="AP252" s="83">
        <f t="shared" si="280"/>
        <v>0</v>
      </c>
      <c r="AQ252" s="83">
        <f t="shared" si="280"/>
        <v>0</v>
      </c>
      <c r="AR252" s="83">
        <f t="shared" si="280"/>
        <v>0</v>
      </c>
      <c r="AS252" s="83">
        <f t="shared" si="280"/>
        <v>0</v>
      </c>
      <c r="AT252" s="83">
        <f t="shared" si="280"/>
        <v>1962.8166666666666</v>
      </c>
      <c r="AU252" s="83">
        <f t="shared" si="280"/>
        <v>0</v>
      </c>
      <c r="AV252" s="83">
        <f t="shared" si="280"/>
        <v>0</v>
      </c>
      <c r="AW252" s="83">
        <f t="shared" si="280"/>
        <v>0</v>
      </c>
      <c r="AX252" s="83">
        <f t="shared" si="280"/>
        <v>0</v>
      </c>
      <c r="AY252" s="83">
        <f t="shared" si="280"/>
        <v>0</v>
      </c>
      <c r="AZ252" s="83">
        <f t="shared" si="280"/>
        <v>0</v>
      </c>
      <c r="BA252" s="83">
        <f t="shared" si="280"/>
        <v>0</v>
      </c>
      <c r="BB252" s="83">
        <f t="shared" si="280"/>
        <v>0</v>
      </c>
      <c r="BC252" s="83">
        <f t="shared" si="280"/>
        <v>0</v>
      </c>
      <c r="BD252" s="83">
        <f t="shared" si="280"/>
        <v>0</v>
      </c>
      <c r="BE252" s="83">
        <f t="shared" si="280"/>
        <v>0</v>
      </c>
      <c r="BF252" s="83">
        <f t="shared" si="280"/>
        <v>0</v>
      </c>
      <c r="BG252" s="83">
        <f t="shared" si="280"/>
        <v>0</v>
      </c>
      <c r="BH252" s="83">
        <f t="shared" si="280"/>
        <v>0</v>
      </c>
      <c r="BI252" s="83">
        <f t="shared" si="280"/>
        <v>0</v>
      </c>
      <c r="BJ252" s="83">
        <f t="shared" si="280"/>
        <v>0</v>
      </c>
      <c r="BK252" s="83">
        <f t="shared" si="280"/>
        <v>0</v>
      </c>
      <c r="BL252" s="83">
        <f t="shared" si="280"/>
        <v>0</v>
      </c>
      <c r="BM252" s="83">
        <f t="shared" si="280"/>
        <v>0</v>
      </c>
      <c r="BN252" s="83">
        <f t="shared" si="280"/>
        <v>0</v>
      </c>
      <c r="BO252" s="83">
        <f t="shared" si="280"/>
        <v>0</v>
      </c>
      <c r="BP252" s="83">
        <f t="shared" si="280"/>
        <v>0</v>
      </c>
      <c r="BQ252" s="83">
        <f t="shared" ref="BQ252:BZ253" si="282">BQ243+BQ249</f>
        <v>0</v>
      </c>
      <c r="BR252" s="83">
        <f t="shared" si="282"/>
        <v>0</v>
      </c>
      <c r="BS252" s="83">
        <f t="shared" si="282"/>
        <v>316.58333333333331</v>
      </c>
      <c r="BT252" s="83">
        <f t="shared" si="282"/>
        <v>0</v>
      </c>
      <c r="BU252" s="83">
        <f t="shared" si="282"/>
        <v>0</v>
      </c>
      <c r="BV252" s="83">
        <f t="shared" si="282"/>
        <v>0</v>
      </c>
      <c r="BW252" s="83">
        <f t="shared" si="282"/>
        <v>0</v>
      </c>
      <c r="BX252" s="83">
        <f t="shared" si="282"/>
        <v>0</v>
      </c>
      <c r="BY252" s="83">
        <f t="shared" si="282"/>
        <v>0</v>
      </c>
      <c r="BZ252" s="83">
        <f t="shared" si="282"/>
        <v>0</v>
      </c>
      <c r="CA252" s="83" t="e">
        <f t="shared" si="215"/>
        <v>#DIV/0!</v>
      </c>
    </row>
    <row r="253" spans="1:81">
      <c r="A253" t="s">
        <v>184</v>
      </c>
      <c r="C253" s="83">
        <f>C244+C250</f>
        <v>7076.9875998915231</v>
      </c>
      <c r="D253" s="83">
        <f t="shared" si="280"/>
        <v>3828.0432361715721</v>
      </c>
      <c r="E253" s="83">
        <f t="shared" si="280"/>
        <v>955.97125021506395</v>
      </c>
      <c r="F253" s="83">
        <f t="shared" si="280"/>
        <v>1496.7297835250597</v>
      </c>
      <c r="G253" s="83">
        <f t="shared" si="280"/>
        <v>450.66343489815125</v>
      </c>
      <c r="H253" s="83">
        <f t="shared" si="280"/>
        <v>963.13657094925236</v>
      </c>
      <c r="I253" s="83">
        <f t="shared" si="280"/>
        <v>2013.2201977582795</v>
      </c>
      <c r="J253" s="83">
        <f t="shared" si="280"/>
        <v>4055.9239283736288</v>
      </c>
      <c r="K253" s="83">
        <f t="shared" si="280"/>
        <v>1769.1059428436836</v>
      </c>
      <c r="L253" s="83">
        <f t="shared" si="280"/>
        <v>506.48245806022226</v>
      </c>
      <c r="M253" s="83">
        <f t="shared" si="280"/>
        <v>950.89679356396653</v>
      </c>
      <c r="N253" s="83">
        <f t="shared" si="280"/>
        <v>2282.2603716859039</v>
      </c>
      <c r="O253" s="83">
        <f t="shared" si="280"/>
        <v>246.46354040121486</v>
      </c>
      <c r="P253" s="83">
        <f t="shared" si="280"/>
        <v>0</v>
      </c>
      <c r="Q253" s="83">
        <f t="shared" si="280"/>
        <v>0</v>
      </c>
      <c r="R253" s="83">
        <f t="shared" si="280"/>
        <v>0</v>
      </c>
      <c r="S253" s="83">
        <f t="shared" si="280"/>
        <v>22.647112091008594</v>
      </c>
      <c r="T253" s="83">
        <f t="shared" si="280"/>
        <v>0</v>
      </c>
      <c r="U253" s="83">
        <f t="shared" si="280"/>
        <v>551.37730370951408</v>
      </c>
      <c r="V253" s="83">
        <f t="shared" si="280"/>
        <v>0</v>
      </c>
      <c r="W253" s="83">
        <f t="shared" si="280"/>
        <v>0</v>
      </c>
      <c r="X253" s="83">
        <f t="shared" si="280"/>
        <v>1649.6212829942338</v>
      </c>
      <c r="Y253" s="83">
        <f t="shared" si="280"/>
        <v>0</v>
      </c>
      <c r="Z253" s="83">
        <f t="shared" si="280"/>
        <v>0</v>
      </c>
      <c r="AA253" s="83">
        <f t="shared" si="280"/>
        <v>0</v>
      </c>
      <c r="AB253" s="83">
        <f t="shared" si="280"/>
        <v>3370.1440019746333</v>
      </c>
      <c r="AC253" s="83">
        <f t="shared" si="280"/>
        <v>0</v>
      </c>
      <c r="AD253" s="83">
        <f t="shared" si="280"/>
        <v>0</v>
      </c>
      <c r="AE253" s="83" t="e">
        <f t="shared" ref="AE253" si="283">AE244+AE250</f>
        <v>#DIV/0!</v>
      </c>
      <c r="AF253" s="83">
        <f t="shared" si="280"/>
        <v>0</v>
      </c>
      <c r="AG253" s="83">
        <f t="shared" si="280"/>
        <v>2994.6811955031612</v>
      </c>
      <c r="AH253" s="83">
        <f t="shared" si="280"/>
        <v>1336.0856419500421</v>
      </c>
      <c r="AI253" s="83">
        <f t="shared" si="280"/>
        <v>0</v>
      </c>
      <c r="AJ253" s="83">
        <f t="shared" si="280"/>
        <v>0</v>
      </c>
      <c r="AK253" s="83">
        <f t="shared" si="280"/>
        <v>0</v>
      </c>
      <c r="AL253" s="83">
        <f t="shared" si="280"/>
        <v>0</v>
      </c>
      <c r="AM253" s="83">
        <f t="shared" si="280"/>
        <v>0</v>
      </c>
      <c r="AN253" s="83">
        <f t="shared" si="280"/>
        <v>0</v>
      </c>
      <c r="AO253" s="83">
        <f t="shared" si="280"/>
        <v>0</v>
      </c>
      <c r="AP253" s="83">
        <f t="shared" si="280"/>
        <v>0</v>
      </c>
      <c r="AQ253" s="83">
        <f t="shared" si="280"/>
        <v>30.047361373858909</v>
      </c>
      <c r="AR253" s="83">
        <f t="shared" si="280"/>
        <v>370.95217833716356</v>
      </c>
      <c r="AS253" s="83">
        <f t="shared" si="280"/>
        <v>0</v>
      </c>
      <c r="AT253" s="83">
        <f t="shared" si="280"/>
        <v>366.60600018691815</v>
      </c>
      <c r="AU253" s="83">
        <f t="shared" si="280"/>
        <v>0</v>
      </c>
      <c r="AV253" s="83">
        <f t="shared" si="280"/>
        <v>0</v>
      </c>
      <c r="AW253" s="83">
        <f t="shared" si="280"/>
        <v>952.54129340459997</v>
      </c>
      <c r="AX253" s="83">
        <f t="shared" si="280"/>
        <v>0</v>
      </c>
      <c r="AY253" s="83">
        <f t="shared" si="280"/>
        <v>0</v>
      </c>
      <c r="AZ253" s="83">
        <f t="shared" si="280"/>
        <v>0</v>
      </c>
      <c r="BA253" s="83">
        <f t="shared" si="280"/>
        <v>0</v>
      </c>
      <c r="BB253" s="83">
        <f t="shared" si="280"/>
        <v>0</v>
      </c>
      <c r="BC253" s="83">
        <f t="shared" si="280"/>
        <v>0</v>
      </c>
      <c r="BD253" s="83">
        <f t="shared" si="280"/>
        <v>0</v>
      </c>
      <c r="BE253" s="83">
        <f t="shared" si="280"/>
        <v>0</v>
      </c>
      <c r="BF253" s="83">
        <f t="shared" si="280"/>
        <v>0</v>
      </c>
      <c r="BG253" s="83">
        <f t="shared" si="280"/>
        <v>0</v>
      </c>
      <c r="BH253" s="83">
        <f t="shared" si="280"/>
        <v>0</v>
      </c>
      <c r="BI253" s="83">
        <f t="shared" si="280"/>
        <v>0</v>
      </c>
      <c r="BJ253" s="83">
        <f t="shared" si="280"/>
        <v>799.36787967703151</v>
      </c>
      <c r="BK253" s="83">
        <f t="shared" si="280"/>
        <v>0</v>
      </c>
      <c r="BL253" s="83">
        <f t="shared" si="280"/>
        <v>0</v>
      </c>
      <c r="BM253" s="83">
        <f t="shared" si="280"/>
        <v>2461.5578400246777</v>
      </c>
      <c r="BN253" s="83">
        <f t="shared" si="280"/>
        <v>0</v>
      </c>
      <c r="BO253" s="83">
        <f t="shared" si="280"/>
        <v>0</v>
      </c>
      <c r="BP253" s="83">
        <f t="shared" si="280"/>
        <v>205.0691301269855</v>
      </c>
      <c r="BQ253" s="83">
        <f t="shared" si="282"/>
        <v>205.0691301269855</v>
      </c>
      <c r="BR253" s="83">
        <f t="shared" si="282"/>
        <v>223.04116409962197</v>
      </c>
      <c r="BS253" s="83">
        <f t="shared" si="282"/>
        <v>438.1652361093374</v>
      </c>
      <c r="BT253" s="83">
        <f t="shared" si="282"/>
        <v>914.24793997270785</v>
      </c>
      <c r="BU253" s="83">
        <f t="shared" si="282"/>
        <v>0</v>
      </c>
      <c r="BV253" s="83">
        <f t="shared" si="282"/>
        <v>0</v>
      </c>
      <c r="BW253" s="83">
        <f t="shared" si="282"/>
        <v>0</v>
      </c>
      <c r="BX253" s="83">
        <f t="shared" si="282"/>
        <v>0</v>
      </c>
      <c r="BY253" s="83">
        <f t="shared" si="282"/>
        <v>0</v>
      </c>
      <c r="BZ253" s="83">
        <f t="shared" si="282"/>
        <v>0</v>
      </c>
      <c r="CA253" s="83" t="e">
        <f t="shared" si="215"/>
        <v>#DIV/0!</v>
      </c>
    </row>
    <row r="254" spans="1:81">
      <c r="CA254" s="83"/>
    </row>
    <row r="255" spans="1:81">
      <c r="A255" t="s">
        <v>199</v>
      </c>
      <c r="C255" s="83">
        <v>1344.665</v>
      </c>
      <c r="D255" s="83">
        <v>455.77500000000003</v>
      </c>
      <c r="E255" s="83">
        <v>169.95000000000002</v>
      </c>
      <c r="F255" s="83">
        <v>169.95000000000002</v>
      </c>
      <c r="G255" s="83">
        <v>169.95000000000002</v>
      </c>
      <c r="H255" s="83">
        <v>285.82499999999999</v>
      </c>
      <c r="I255" s="83">
        <v>0</v>
      </c>
      <c r="J255" s="83">
        <v>323.42</v>
      </c>
      <c r="K255" s="83">
        <v>169.95000000000002</v>
      </c>
      <c r="L255" s="83">
        <v>646.32500000000005</v>
      </c>
      <c r="M255" s="83">
        <v>0</v>
      </c>
      <c r="N255" s="83">
        <v>691.97460000000012</v>
      </c>
      <c r="O255" s="83">
        <v>0</v>
      </c>
      <c r="P255" s="83">
        <v>0</v>
      </c>
      <c r="Q255" s="83">
        <v>0</v>
      </c>
      <c r="R255" s="83">
        <v>0</v>
      </c>
      <c r="S255" s="83">
        <v>0</v>
      </c>
      <c r="T255" s="83">
        <v>0</v>
      </c>
      <c r="U255" s="83">
        <v>153.47</v>
      </c>
      <c r="V255" s="83">
        <v>0</v>
      </c>
      <c r="W255" s="83">
        <v>0</v>
      </c>
      <c r="X255" s="83">
        <v>0</v>
      </c>
      <c r="Y255" s="83">
        <v>0</v>
      </c>
      <c r="Z255" s="83">
        <v>0</v>
      </c>
      <c r="AA255" s="83">
        <v>0</v>
      </c>
      <c r="AB255" s="83">
        <v>0</v>
      </c>
      <c r="AC255" s="83">
        <v>0</v>
      </c>
      <c r="AD255" s="83">
        <v>0</v>
      </c>
      <c r="AE255" s="83">
        <v>0</v>
      </c>
      <c r="AF255" s="83">
        <v>0</v>
      </c>
      <c r="AG255" s="83">
        <v>4700.92</v>
      </c>
      <c r="AH255" s="83">
        <v>0</v>
      </c>
      <c r="AI255" s="83">
        <v>0</v>
      </c>
      <c r="AJ255" s="83">
        <v>0</v>
      </c>
      <c r="AK255" s="83">
        <v>0</v>
      </c>
      <c r="AL255" s="83">
        <v>0</v>
      </c>
      <c r="AM255" s="83">
        <v>0</v>
      </c>
      <c r="AN255" s="83">
        <v>0</v>
      </c>
      <c r="AO255" s="83">
        <v>0</v>
      </c>
      <c r="AP255" s="83">
        <v>0</v>
      </c>
      <c r="AQ255" s="83">
        <v>0</v>
      </c>
      <c r="AR255" s="83">
        <v>0</v>
      </c>
      <c r="AS255" s="83">
        <v>0</v>
      </c>
      <c r="AT255" s="83">
        <v>0</v>
      </c>
      <c r="AU255" s="83">
        <v>0</v>
      </c>
      <c r="AV255" s="83">
        <v>0</v>
      </c>
      <c r="AW255" s="83">
        <v>0</v>
      </c>
      <c r="AX255" s="83">
        <v>0</v>
      </c>
      <c r="AY255" s="83">
        <v>0</v>
      </c>
      <c r="AZ255" s="83">
        <v>0</v>
      </c>
      <c r="BA255" s="83">
        <v>0</v>
      </c>
      <c r="BB255" s="83">
        <v>0</v>
      </c>
      <c r="BC255" s="83">
        <v>0</v>
      </c>
      <c r="BD255" s="83">
        <v>0</v>
      </c>
      <c r="BE255" s="83">
        <v>0</v>
      </c>
      <c r="BF255" s="83">
        <v>661.77499999999998</v>
      </c>
      <c r="BG255" s="83">
        <v>0</v>
      </c>
      <c r="BH255" s="83">
        <v>0</v>
      </c>
      <c r="BI255" s="83">
        <v>0</v>
      </c>
      <c r="BJ255" s="83">
        <v>0</v>
      </c>
      <c r="BK255" s="83">
        <v>0</v>
      </c>
      <c r="BL255" s="83">
        <v>0</v>
      </c>
      <c r="BM255" s="83">
        <v>0</v>
      </c>
      <c r="BN255" s="83">
        <v>0</v>
      </c>
      <c r="BO255" s="83">
        <v>0</v>
      </c>
      <c r="BP255" s="83">
        <v>0</v>
      </c>
      <c r="BQ255" s="83">
        <v>0</v>
      </c>
      <c r="BR255" s="83">
        <v>0</v>
      </c>
      <c r="BS255" s="83">
        <v>0</v>
      </c>
      <c r="BT255" s="83">
        <v>0</v>
      </c>
      <c r="BU255" s="83">
        <v>0</v>
      </c>
      <c r="BV255" s="83">
        <v>0</v>
      </c>
      <c r="BW255" s="83">
        <v>0</v>
      </c>
      <c r="BX255" s="83">
        <v>0</v>
      </c>
      <c r="BY255" s="83">
        <v>0</v>
      </c>
      <c r="BZ255" s="83">
        <v>0</v>
      </c>
      <c r="CA255" s="83">
        <f t="shared" si="215"/>
        <v>9943.9495999999999</v>
      </c>
      <c r="CB255" s="83">
        <v>642.5</v>
      </c>
      <c r="CC255" s="83">
        <f>SUM(CA255:CB255)</f>
        <v>10586.4496</v>
      </c>
    </row>
    <row r="256" spans="1:81">
      <c r="A256" t="s">
        <v>199</v>
      </c>
      <c r="C256" s="77">
        <f t="shared" ref="C256:AD256" si="284">C255/$CA$255</f>
        <v>0.1352244383861318</v>
      </c>
      <c r="D256" s="77">
        <f t="shared" si="284"/>
        <v>4.5834403665923652E-2</v>
      </c>
      <c r="E256" s="77">
        <f t="shared" si="284"/>
        <v>1.7090794587293567E-2</v>
      </c>
      <c r="F256" s="77">
        <f t="shared" si="284"/>
        <v>1.7090794587293567E-2</v>
      </c>
      <c r="G256" s="77">
        <f t="shared" si="284"/>
        <v>1.7090794587293567E-2</v>
      </c>
      <c r="H256" s="77">
        <f t="shared" si="284"/>
        <v>2.8743609078630085E-2</v>
      </c>
      <c r="I256" s="77">
        <f t="shared" si="284"/>
        <v>0</v>
      </c>
      <c r="J256" s="77">
        <f t="shared" si="284"/>
        <v>3.2524300002485934E-2</v>
      </c>
      <c r="K256" s="77">
        <f t="shared" si="284"/>
        <v>1.7090794587293567E-2</v>
      </c>
      <c r="L256" s="77">
        <f t="shared" si="284"/>
        <v>6.4996809718343707E-2</v>
      </c>
      <c r="M256" s="77">
        <f t="shared" si="284"/>
        <v>0</v>
      </c>
      <c r="N256" s="77">
        <f t="shared" si="284"/>
        <v>6.9587500725064019E-2</v>
      </c>
      <c r="O256" s="77">
        <f t="shared" si="284"/>
        <v>0</v>
      </c>
      <c r="P256" s="77">
        <f t="shared" si="284"/>
        <v>0</v>
      </c>
      <c r="Q256" s="77">
        <f t="shared" si="284"/>
        <v>0</v>
      </c>
      <c r="R256" s="77">
        <f t="shared" si="284"/>
        <v>0</v>
      </c>
      <c r="S256" s="77">
        <f t="shared" si="284"/>
        <v>0</v>
      </c>
      <c r="T256" s="77">
        <f t="shared" si="284"/>
        <v>0</v>
      </c>
      <c r="U256" s="77">
        <f t="shared" si="284"/>
        <v>1.543350541519237E-2</v>
      </c>
      <c r="V256" s="77">
        <f t="shared" si="284"/>
        <v>0</v>
      </c>
      <c r="W256" s="77">
        <f t="shared" si="284"/>
        <v>0</v>
      </c>
      <c r="X256" s="77">
        <f t="shared" si="284"/>
        <v>0</v>
      </c>
      <c r="Y256" s="77">
        <f t="shared" si="284"/>
        <v>0</v>
      </c>
      <c r="Z256" s="77">
        <f t="shared" si="284"/>
        <v>0</v>
      </c>
      <c r="AA256" s="77">
        <f t="shared" si="284"/>
        <v>0</v>
      </c>
      <c r="AB256" s="77">
        <f t="shared" si="284"/>
        <v>0</v>
      </c>
      <c r="AC256" s="77">
        <f t="shared" si="284"/>
        <v>0</v>
      </c>
      <c r="AD256" s="77">
        <f t="shared" si="284"/>
        <v>0</v>
      </c>
      <c r="AE256" s="77" t="e">
        <f>AE255/$BI$255</f>
        <v>#DIV/0!</v>
      </c>
      <c r="AF256" s="77">
        <f t="shared" ref="AF256:BP256" si="285">AF255/$CA$255</f>
        <v>0</v>
      </c>
      <c r="AG256" s="77">
        <f t="shared" si="285"/>
        <v>0.47274173634186561</v>
      </c>
      <c r="AH256" s="77">
        <f t="shared" si="285"/>
        <v>0</v>
      </c>
      <c r="AI256" s="77">
        <f t="shared" si="285"/>
        <v>0</v>
      </c>
      <c r="AJ256" s="77">
        <f t="shared" si="285"/>
        <v>0</v>
      </c>
      <c r="AK256" s="77">
        <f t="shared" si="285"/>
        <v>0</v>
      </c>
      <c r="AL256" s="77">
        <f t="shared" si="285"/>
        <v>0</v>
      </c>
      <c r="AM256" s="77">
        <f t="shared" si="285"/>
        <v>0</v>
      </c>
      <c r="AN256" s="77">
        <f t="shared" si="285"/>
        <v>0</v>
      </c>
      <c r="AO256" s="77">
        <f t="shared" si="285"/>
        <v>0</v>
      </c>
      <c r="AP256" s="77">
        <f t="shared" si="285"/>
        <v>0</v>
      </c>
      <c r="AQ256" s="77">
        <f t="shared" si="285"/>
        <v>0</v>
      </c>
      <c r="AR256" s="77">
        <f t="shared" si="285"/>
        <v>0</v>
      </c>
      <c r="AS256" s="77">
        <f t="shared" si="285"/>
        <v>0</v>
      </c>
      <c r="AT256" s="77">
        <f t="shared" si="285"/>
        <v>0</v>
      </c>
      <c r="AU256" s="77">
        <f t="shared" si="285"/>
        <v>0</v>
      </c>
      <c r="AV256" s="77">
        <f t="shared" si="285"/>
        <v>0</v>
      </c>
      <c r="AW256" s="77">
        <f t="shared" si="285"/>
        <v>0</v>
      </c>
      <c r="AX256" s="77">
        <f t="shared" si="285"/>
        <v>0</v>
      </c>
      <c r="AY256" s="77">
        <f t="shared" si="285"/>
        <v>0</v>
      </c>
      <c r="AZ256" s="77">
        <f t="shared" si="285"/>
        <v>0</v>
      </c>
      <c r="BA256" s="77">
        <f t="shared" si="285"/>
        <v>0</v>
      </c>
      <c r="BB256" s="77">
        <f t="shared" si="285"/>
        <v>0</v>
      </c>
      <c r="BC256" s="77">
        <f t="shared" si="285"/>
        <v>0</v>
      </c>
      <c r="BD256" s="77">
        <f t="shared" si="285"/>
        <v>0</v>
      </c>
      <c r="BE256" s="77">
        <f t="shared" si="285"/>
        <v>0</v>
      </c>
      <c r="BF256" s="77">
        <f t="shared" si="285"/>
        <v>6.655051831718857E-2</v>
      </c>
      <c r="BG256" s="77">
        <f t="shared" si="285"/>
        <v>0</v>
      </c>
      <c r="BH256" s="77">
        <f t="shared" si="285"/>
        <v>0</v>
      </c>
      <c r="BI256" s="77">
        <f t="shared" si="285"/>
        <v>0</v>
      </c>
      <c r="BJ256" s="77">
        <f t="shared" si="285"/>
        <v>0</v>
      </c>
      <c r="BK256" s="77">
        <f t="shared" si="285"/>
        <v>0</v>
      </c>
      <c r="BL256" s="77">
        <f t="shared" si="285"/>
        <v>0</v>
      </c>
      <c r="BM256" s="77">
        <f t="shared" si="285"/>
        <v>0</v>
      </c>
      <c r="BN256" s="77">
        <f t="shared" si="285"/>
        <v>0</v>
      </c>
      <c r="BO256" s="77">
        <f t="shared" si="285"/>
        <v>0</v>
      </c>
      <c r="BP256" s="77">
        <f t="shared" si="285"/>
        <v>0</v>
      </c>
      <c r="BQ256" s="77">
        <f t="shared" ref="BQ256:BZ256" si="286">BQ255/$CA$255</f>
        <v>0</v>
      </c>
      <c r="BR256" s="77">
        <f t="shared" si="286"/>
        <v>0</v>
      </c>
      <c r="BS256" s="77">
        <f t="shared" si="286"/>
        <v>0</v>
      </c>
      <c r="BT256" s="77">
        <f t="shared" si="286"/>
        <v>0</v>
      </c>
      <c r="BU256" s="77">
        <f t="shared" si="286"/>
        <v>0</v>
      </c>
      <c r="BV256" s="77">
        <f t="shared" si="286"/>
        <v>0</v>
      </c>
      <c r="BW256" s="77">
        <f t="shared" si="286"/>
        <v>0</v>
      </c>
      <c r="BX256" s="77">
        <f t="shared" si="286"/>
        <v>0</v>
      </c>
      <c r="BY256" s="77">
        <f t="shared" si="286"/>
        <v>0</v>
      </c>
      <c r="BZ256" s="77">
        <f t="shared" si="286"/>
        <v>0</v>
      </c>
      <c r="CA256" s="77" t="e">
        <f t="shared" si="215"/>
        <v>#DIV/0!</v>
      </c>
    </row>
    <row r="257" spans="1:81">
      <c r="A257" t="s">
        <v>199</v>
      </c>
      <c r="C257" s="83">
        <f t="shared" ref="C257:AD257" si="287">$CB$255*C256</f>
        <v>86.881701663089672</v>
      </c>
      <c r="D257" s="83">
        <f t="shared" si="287"/>
        <v>29.448604355355947</v>
      </c>
      <c r="E257" s="83">
        <f t="shared" si="287"/>
        <v>10.980835522336116</v>
      </c>
      <c r="F257" s="83">
        <f t="shared" si="287"/>
        <v>10.980835522336116</v>
      </c>
      <c r="G257" s="83">
        <f t="shared" si="287"/>
        <v>10.980835522336116</v>
      </c>
      <c r="H257" s="83">
        <f t="shared" si="287"/>
        <v>18.467768833019829</v>
      </c>
      <c r="I257" s="83">
        <f t="shared" si="287"/>
        <v>0</v>
      </c>
      <c r="J257" s="83">
        <f t="shared" si="287"/>
        <v>20.896862751597212</v>
      </c>
      <c r="K257" s="83">
        <f t="shared" si="287"/>
        <v>10.980835522336116</v>
      </c>
      <c r="L257" s="83">
        <f t="shared" si="287"/>
        <v>41.76045024403583</v>
      </c>
      <c r="M257" s="83">
        <f t="shared" si="287"/>
        <v>0</v>
      </c>
      <c r="N257" s="83">
        <f t="shared" si="287"/>
        <v>44.709969215853633</v>
      </c>
      <c r="O257" s="83">
        <f t="shared" si="287"/>
        <v>0</v>
      </c>
      <c r="P257" s="83">
        <f t="shared" si="287"/>
        <v>0</v>
      </c>
      <c r="Q257" s="83">
        <f t="shared" si="287"/>
        <v>0</v>
      </c>
      <c r="R257" s="83">
        <f t="shared" si="287"/>
        <v>0</v>
      </c>
      <c r="S257" s="83">
        <f t="shared" si="287"/>
        <v>0</v>
      </c>
      <c r="T257" s="83">
        <f t="shared" si="287"/>
        <v>0</v>
      </c>
      <c r="U257" s="83">
        <f t="shared" si="287"/>
        <v>9.9160272292610987</v>
      </c>
      <c r="V257" s="83">
        <f t="shared" si="287"/>
        <v>0</v>
      </c>
      <c r="W257" s="83">
        <f t="shared" si="287"/>
        <v>0</v>
      </c>
      <c r="X257" s="83">
        <f t="shared" si="287"/>
        <v>0</v>
      </c>
      <c r="Y257" s="83">
        <f t="shared" si="287"/>
        <v>0</v>
      </c>
      <c r="Z257" s="83">
        <f t="shared" si="287"/>
        <v>0</v>
      </c>
      <c r="AA257" s="83">
        <f t="shared" si="287"/>
        <v>0</v>
      </c>
      <c r="AB257" s="83">
        <f t="shared" si="287"/>
        <v>0</v>
      </c>
      <c r="AC257" s="83">
        <f t="shared" si="287"/>
        <v>0</v>
      </c>
      <c r="AD257" s="83">
        <f t="shared" si="287"/>
        <v>0</v>
      </c>
      <c r="AE257" s="83" t="e">
        <f>$BJ$255*AE256</f>
        <v>#DIV/0!</v>
      </c>
      <c r="AF257" s="83">
        <f t="shared" ref="AF257:BP257" si="288">$CB$255*AF256</f>
        <v>0</v>
      </c>
      <c r="AG257" s="83">
        <f t="shared" si="288"/>
        <v>303.73656559964866</v>
      </c>
      <c r="AH257" s="83">
        <f t="shared" si="288"/>
        <v>0</v>
      </c>
      <c r="AI257" s="83">
        <f t="shared" si="288"/>
        <v>0</v>
      </c>
      <c r="AJ257" s="83">
        <f t="shared" si="288"/>
        <v>0</v>
      </c>
      <c r="AK257" s="83">
        <f t="shared" si="288"/>
        <v>0</v>
      </c>
      <c r="AL257" s="83">
        <f t="shared" si="288"/>
        <v>0</v>
      </c>
      <c r="AM257" s="83">
        <f t="shared" si="288"/>
        <v>0</v>
      </c>
      <c r="AN257" s="83">
        <f t="shared" si="288"/>
        <v>0</v>
      </c>
      <c r="AO257" s="83">
        <f t="shared" si="288"/>
        <v>0</v>
      </c>
      <c r="AP257" s="83">
        <f t="shared" si="288"/>
        <v>0</v>
      </c>
      <c r="AQ257" s="83">
        <f t="shared" si="288"/>
        <v>0</v>
      </c>
      <c r="AR257" s="83">
        <f t="shared" si="288"/>
        <v>0</v>
      </c>
      <c r="AS257" s="83">
        <f t="shared" si="288"/>
        <v>0</v>
      </c>
      <c r="AT257" s="83">
        <f t="shared" si="288"/>
        <v>0</v>
      </c>
      <c r="AU257" s="83">
        <f t="shared" si="288"/>
        <v>0</v>
      </c>
      <c r="AV257" s="83">
        <f t="shared" si="288"/>
        <v>0</v>
      </c>
      <c r="AW257" s="83">
        <f t="shared" si="288"/>
        <v>0</v>
      </c>
      <c r="AX257" s="83">
        <f t="shared" si="288"/>
        <v>0</v>
      </c>
      <c r="AY257" s="83">
        <f t="shared" si="288"/>
        <v>0</v>
      </c>
      <c r="AZ257" s="83">
        <f t="shared" si="288"/>
        <v>0</v>
      </c>
      <c r="BA257" s="83">
        <f t="shared" si="288"/>
        <v>0</v>
      </c>
      <c r="BB257" s="83">
        <f t="shared" si="288"/>
        <v>0</v>
      </c>
      <c r="BC257" s="83">
        <f t="shared" si="288"/>
        <v>0</v>
      </c>
      <c r="BD257" s="83">
        <f t="shared" si="288"/>
        <v>0</v>
      </c>
      <c r="BE257" s="83">
        <f t="shared" si="288"/>
        <v>0</v>
      </c>
      <c r="BF257" s="83">
        <f t="shared" si="288"/>
        <v>42.758708018793655</v>
      </c>
      <c r="BG257" s="83">
        <f t="shared" si="288"/>
        <v>0</v>
      </c>
      <c r="BH257" s="83">
        <f t="shared" si="288"/>
        <v>0</v>
      </c>
      <c r="BI257" s="83">
        <f t="shared" si="288"/>
        <v>0</v>
      </c>
      <c r="BJ257" s="83">
        <f t="shared" si="288"/>
        <v>0</v>
      </c>
      <c r="BK257" s="83">
        <f t="shared" si="288"/>
        <v>0</v>
      </c>
      <c r="BL257" s="83">
        <f t="shared" si="288"/>
        <v>0</v>
      </c>
      <c r="BM257" s="83">
        <f t="shared" si="288"/>
        <v>0</v>
      </c>
      <c r="BN257" s="83">
        <f t="shared" si="288"/>
        <v>0</v>
      </c>
      <c r="BO257" s="83">
        <f t="shared" si="288"/>
        <v>0</v>
      </c>
      <c r="BP257" s="83">
        <f t="shared" si="288"/>
        <v>0</v>
      </c>
      <c r="BQ257" s="83">
        <f t="shared" ref="BQ257:BZ257" si="289">$CB$255*BQ256</f>
        <v>0</v>
      </c>
      <c r="BR257" s="83">
        <f t="shared" si="289"/>
        <v>0</v>
      </c>
      <c r="BS257" s="83">
        <f t="shared" si="289"/>
        <v>0</v>
      </c>
      <c r="BT257" s="83">
        <f t="shared" si="289"/>
        <v>0</v>
      </c>
      <c r="BU257" s="83">
        <f t="shared" si="289"/>
        <v>0</v>
      </c>
      <c r="BV257" s="83">
        <f t="shared" si="289"/>
        <v>0</v>
      </c>
      <c r="BW257" s="83">
        <f t="shared" si="289"/>
        <v>0</v>
      </c>
      <c r="BX257" s="83">
        <f t="shared" si="289"/>
        <v>0</v>
      </c>
      <c r="BY257" s="83">
        <f t="shared" si="289"/>
        <v>0</v>
      </c>
      <c r="BZ257" s="83">
        <f t="shared" si="289"/>
        <v>0</v>
      </c>
      <c r="CA257" s="83" t="e">
        <f t="shared" si="215"/>
        <v>#DIV/0!</v>
      </c>
    </row>
    <row r="258" spans="1:81">
      <c r="A258" t="s">
        <v>199</v>
      </c>
      <c r="C258" s="83">
        <f>C255+C257</f>
        <v>1431.5467016630896</v>
      </c>
      <c r="D258" s="83">
        <f t="shared" ref="D258:BP258" si="290">D255+D257</f>
        <v>485.22360435535597</v>
      </c>
      <c r="E258" s="83">
        <f t="shared" si="290"/>
        <v>180.93083552233614</v>
      </c>
      <c r="F258" s="83">
        <f t="shared" si="290"/>
        <v>180.93083552233614</v>
      </c>
      <c r="G258" s="83">
        <f t="shared" si="290"/>
        <v>180.93083552233614</v>
      </c>
      <c r="H258" s="83">
        <f t="shared" si="290"/>
        <v>304.29276883301981</v>
      </c>
      <c r="I258" s="83">
        <f t="shared" si="290"/>
        <v>0</v>
      </c>
      <c r="J258" s="83">
        <f t="shared" si="290"/>
        <v>344.31686275159723</v>
      </c>
      <c r="K258" s="83">
        <f t="shared" si="290"/>
        <v>180.93083552233614</v>
      </c>
      <c r="L258" s="83">
        <f t="shared" si="290"/>
        <v>688.08545024403588</v>
      </c>
      <c r="M258" s="83">
        <f t="shared" si="290"/>
        <v>0</v>
      </c>
      <c r="N258" s="83">
        <f t="shared" si="290"/>
        <v>736.6845692158538</v>
      </c>
      <c r="O258" s="83">
        <f t="shared" si="290"/>
        <v>0</v>
      </c>
      <c r="P258" s="83">
        <f t="shared" si="290"/>
        <v>0</v>
      </c>
      <c r="Q258" s="83">
        <f t="shared" si="290"/>
        <v>0</v>
      </c>
      <c r="R258" s="83">
        <f t="shared" si="290"/>
        <v>0</v>
      </c>
      <c r="S258" s="83">
        <f t="shared" si="290"/>
        <v>0</v>
      </c>
      <c r="T258" s="83">
        <f t="shared" si="290"/>
        <v>0</v>
      </c>
      <c r="U258" s="83">
        <f t="shared" si="290"/>
        <v>163.38602722926109</v>
      </c>
      <c r="V258" s="83">
        <f t="shared" si="290"/>
        <v>0</v>
      </c>
      <c r="W258" s="83">
        <f t="shared" si="290"/>
        <v>0</v>
      </c>
      <c r="X258" s="83">
        <f t="shared" si="290"/>
        <v>0</v>
      </c>
      <c r="Y258" s="83">
        <f t="shared" si="290"/>
        <v>0</v>
      </c>
      <c r="Z258" s="83">
        <f t="shared" si="290"/>
        <v>0</v>
      </c>
      <c r="AA258" s="83">
        <f t="shared" si="290"/>
        <v>0</v>
      </c>
      <c r="AB258" s="83">
        <f t="shared" si="290"/>
        <v>0</v>
      </c>
      <c r="AC258" s="83">
        <f t="shared" si="290"/>
        <v>0</v>
      </c>
      <c r="AD258" s="83">
        <f t="shared" si="290"/>
        <v>0</v>
      </c>
      <c r="AE258" s="83" t="e">
        <f t="shared" ref="AE258" si="291">AE255+AE257</f>
        <v>#DIV/0!</v>
      </c>
      <c r="AF258" s="83">
        <f t="shared" si="290"/>
        <v>0</v>
      </c>
      <c r="AG258" s="83">
        <f t="shared" si="290"/>
        <v>5004.6565655996492</v>
      </c>
      <c r="AH258" s="83">
        <f t="shared" si="290"/>
        <v>0</v>
      </c>
      <c r="AI258" s="83">
        <f t="shared" si="290"/>
        <v>0</v>
      </c>
      <c r="AJ258" s="83">
        <f t="shared" si="290"/>
        <v>0</v>
      </c>
      <c r="AK258" s="83">
        <f t="shared" si="290"/>
        <v>0</v>
      </c>
      <c r="AL258" s="83">
        <f t="shared" si="290"/>
        <v>0</v>
      </c>
      <c r="AM258" s="83">
        <f t="shared" si="290"/>
        <v>0</v>
      </c>
      <c r="AN258" s="83">
        <f t="shared" si="290"/>
        <v>0</v>
      </c>
      <c r="AO258" s="83">
        <f t="shared" si="290"/>
        <v>0</v>
      </c>
      <c r="AP258" s="83">
        <f t="shared" si="290"/>
        <v>0</v>
      </c>
      <c r="AQ258" s="83">
        <f t="shared" si="290"/>
        <v>0</v>
      </c>
      <c r="AR258" s="83">
        <f t="shared" si="290"/>
        <v>0</v>
      </c>
      <c r="AS258" s="83">
        <f t="shared" si="290"/>
        <v>0</v>
      </c>
      <c r="AT258" s="83">
        <f t="shared" si="290"/>
        <v>0</v>
      </c>
      <c r="AU258" s="83">
        <f t="shared" si="290"/>
        <v>0</v>
      </c>
      <c r="AV258" s="83">
        <f t="shared" si="290"/>
        <v>0</v>
      </c>
      <c r="AW258" s="83">
        <f t="shared" si="290"/>
        <v>0</v>
      </c>
      <c r="AX258" s="83">
        <f t="shared" si="290"/>
        <v>0</v>
      </c>
      <c r="AY258" s="83">
        <f t="shared" si="290"/>
        <v>0</v>
      </c>
      <c r="AZ258" s="83">
        <f t="shared" si="290"/>
        <v>0</v>
      </c>
      <c r="BA258" s="83">
        <f t="shared" si="290"/>
        <v>0</v>
      </c>
      <c r="BB258" s="83">
        <f t="shared" si="290"/>
        <v>0</v>
      </c>
      <c r="BC258" s="83">
        <f t="shared" si="290"/>
        <v>0</v>
      </c>
      <c r="BD258" s="83">
        <f t="shared" si="290"/>
        <v>0</v>
      </c>
      <c r="BE258" s="83">
        <f t="shared" si="290"/>
        <v>0</v>
      </c>
      <c r="BF258" s="83">
        <f t="shared" si="290"/>
        <v>704.53370801879362</v>
      </c>
      <c r="BG258" s="83">
        <f t="shared" si="290"/>
        <v>0</v>
      </c>
      <c r="BH258" s="83">
        <f t="shared" si="290"/>
        <v>0</v>
      </c>
      <c r="BI258" s="83">
        <f t="shared" si="290"/>
        <v>0</v>
      </c>
      <c r="BJ258" s="83">
        <f t="shared" si="290"/>
        <v>0</v>
      </c>
      <c r="BK258" s="83">
        <f t="shared" si="290"/>
        <v>0</v>
      </c>
      <c r="BL258" s="83">
        <f t="shared" si="290"/>
        <v>0</v>
      </c>
      <c r="BM258" s="83">
        <f t="shared" si="290"/>
        <v>0</v>
      </c>
      <c r="BN258" s="83">
        <f t="shared" si="290"/>
        <v>0</v>
      </c>
      <c r="BO258" s="83">
        <f t="shared" si="290"/>
        <v>0</v>
      </c>
      <c r="BP258" s="83">
        <f t="shared" si="290"/>
        <v>0</v>
      </c>
      <c r="BQ258" s="83">
        <f t="shared" ref="BQ258:BZ258" si="292">BQ255+BQ257</f>
        <v>0</v>
      </c>
      <c r="BR258" s="83">
        <f t="shared" si="292"/>
        <v>0</v>
      </c>
      <c r="BS258" s="83">
        <f t="shared" si="292"/>
        <v>0</v>
      </c>
      <c r="BT258" s="83">
        <f t="shared" si="292"/>
        <v>0</v>
      </c>
      <c r="BU258" s="83">
        <f t="shared" si="292"/>
        <v>0</v>
      </c>
      <c r="BV258" s="83">
        <f t="shared" si="292"/>
        <v>0</v>
      </c>
      <c r="BW258" s="83">
        <f t="shared" si="292"/>
        <v>0</v>
      </c>
      <c r="BX258" s="83">
        <f t="shared" si="292"/>
        <v>0</v>
      </c>
      <c r="BY258" s="83">
        <f t="shared" si="292"/>
        <v>0</v>
      </c>
      <c r="BZ258" s="83">
        <f t="shared" si="292"/>
        <v>0</v>
      </c>
      <c r="CA258" s="83" t="e">
        <f t="shared" si="215"/>
        <v>#DIV/0!</v>
      </c>
    </row>
    <row r="259" spans="1:81">
      <c r="CA259" s="83"/>
    </row>
    <row r="260" spans="1:81">
      <c r="A260" t="s">
        <v>203</v>
      </c>
      <c r="C260" s="83">
        <v>0</v>
      </c>
      <c r="D260" s="83">
        <v>0</v>
      </c>
      <c r="E260" s="83">
        <v>0</v>
      </c>
      <c r="F260" s="83">
        <v>0</v>
      </c>
      <c r="G260" s="83">
        <v>0</v>
      </c>
      <c r="H260" s="83">
        <v>0</v>
      </c>
      <c r="I260" s="83">
        <v>0</v>
      </c>
      <c r="J260" s="83">
        <v>0</v>
      </c>
      <c r="K260" s="83">
        <v>0</v>
      </c>
      <c r="L260" s="83">
        <v>0</v>
      </c>
      <c r="M260" s="83">
        <v>0</v>
      </c>
      <c r="N260" s="83">
        <v>0</v>
      </c>
      <c r="O260" s="83">
        <v>0</v>
      </c>
      <c r="P260" s="83">
        <v>0</v>
      </c>
      <c r="Q260" s="83">
        <v>0</v>
      </c>
      <c r="R260" s="83">
        <v>0</v>
      </c>
      <c r="S260" s="83">
        <v>0</v>
      </c>
      <c r="T260" s="83">
        <v>0</v>
      </c>
      <c r="U260" s="83">
        <v>0</v>
      </c>
      <c r="V260" s="83">
        <v>0</v>
      </c>
      <c r="W260" s="83">
        <v>0</v>
      </c>
      <c r="X260" s="83">
        <v>0</v>
      </c>
      <c r="Y260" s="83">
        <v>0</v>
      </c>
      <c r="Z260" s="83">
        <v>0</v>
      </c>
      <c r="AA260" s="83">
        <v>0</v>
      </c>
      <c r="AB260" s="83">
        <v>0</v>
      </c>
      <c r="AC260" s="83">
        <v>0</v>
      </c>
      <c r="AD260" s="83">
        <v>0</v>
      </c>
      <c r="AE260" s="83">
        <v>0</v>
      </c>
      <c r="AF260" s="83">
        <v>8312.4502000000011</v>
      </c>
      <c r="AG260" s="83">
        <v>0</v>
      </c>
      <c r="AH260" s="83">
        <v>0</v>
      </c>
      <c r="AI260" s="83">
        <v>44475.564800000007</v>
      </c>
      <c r="AJ260" s="83">
        <v>0</v>
      </c>
      <c r="AK260" s="83">
        <v>0</v>
      </c>
      <c r="AL260" s="83">
        <v>0</v>
      </c>
      <c r="AM260" s="83">
        <v>0</v>
      </c>
      <c r="AN260" s="83">
        <v>206</v>
      </c>
      <c r="AO260" s="83">
        <v>0</v>
      </c>
      <c r="AP260" s="83">
        <v>0</v>
      </c>
      <c r="AQ260" s="83">
        <v>0</v>
      </c>
      <c r="AR260" s="83">
        <v>22529.499</v>
      </c>
      <c r="AS260" s="83">
        <v>0</v>
      </c>
      <c r="AT260" s="83">
        <v>0</v>
      </c>
      <c r="AU260" s="83">
        <v>0</v>
      </c>
      <c r="AV260" s="83">
        <v>0</v>
      </c>
      <c r="AW260" s="83">
        <v>0</v>
      </c>
      <c r="AX260" s="83">
        <v>0</v>
      </c>
      <c r="AY260" s="83">
        <v>0</v>
      </c>
      <c r="AZ260" s="83">
        <v>0</v>
      </c>
      <c r="BA260" s="83">
        <v>0</v>
      </c>
      <c r="BB260" s="83">
        <v>14606.162200000001</v>
      </c>
      <c r="BC260" s="83">
        <v>0</v>
      </c>
      <c r="BD260" s="83">
        <v>0</v>
      </c>
      <c r="BE260" s="83">
        <v>0</v>
      </c>
      <c r="BF260" s="83">
        <v>0</v>
      </c>
      <c r="BG260" s="83">
        <v>99086</v>
      </c>
      <c r="BH260" s="83">
        <v>29734.060600000001</v>
      </c>
      <c r="BI260" s="83">
        <v>1911.9478000000001</v>
      </c>
      <c r="BJ260" s="83">
        <v>0</v>
      </c>
      <c r="BK260" s="83">
        <v>0</v>
      </c>
      <c r="BL260" s="83">
        <v>0</v>
      </c>
      <c r="BM260" s="83">
        <v>0</v>
      </c>
      <c r="BN260" s="83">
        <v>0</v>
      </c>
      <c r="BO260" s="83">
        <v>0</v>
      </c>
      <c r="BP260" s="83">
        <v>0</v>
      </c>
      <c r="BQ260" s="83">
        <v>0</v>
      </c>
      <c r="BR260" s="83">
        <v>0</v>
      </c>
      <c r="BS260" s="83">
        <v>0</v>
      </c>
      <c r="BT260" s="83">
        <v>0</v>
      </c>
      <c r="BU260" s="83">
        <v>0</v>
      </c>
      <c r="BV260" s="83">
        <v>0</v>
      </c>
      <c r="BW260" s="83">
        <v>0</v>
      </c>
      <c r="BX260" s="83">
        <v>0</v>
      </c>
      <c r="BY260" s="83">
        <v>0</v>
      </c>
      <c r="BZ260" s="83">
        <v>0</v>
      </c>
      <c r="CA260" s="83">
        <f t="shared" si="215"/>
        <v>220861.68460000001</v>
      </c>
      <c r="CB260" s="83">
        <v>200</v>
      </c>
      <c r="CC260" s="83">
        <f>SUM(CA260:CB260)</f>
        <v>221061.68460000001</v>
      </c>
    </row>
    <row r="261" spans="1:81">
      <c r="A261" t="s">
        <v>203</v>
      </c>
      <c r="C261" s="77">
        <f t="shared" ref="C261:AD261" si="293">C260/$CA$260</f>
        <v>0</v>
      </c>
      <c r="D261" s="77">
        <f t="shared" si="293"/>
        <v>0</v>
      </c>
      <c r="E261" s="77">
        <f t="shared" si="293"/>
        <v>0</v>
      </c>
      <c r="F261" s="77">
        <f t="shared" si="293"/>
        <v>0</v>
      </c>
      <c r="G261" s="77">
        <f t="shared" si="293"/>
        <v>0</v>
      </c>
      <c r="H261" s="77">
        <f t="shared" si="293"/>
        <v>0</v>
      </c>
      <c r="I261" s="77">
        <f t="shared" si="293"/>
        <v>0</v>
      </c>
      <c r="J261" s="77">
        <f t="shared" si="293"/>
        <v>0</v>
      </c>
      <c r="K261" s="77">
        <f t="shared" si="293"/>
        <v>0</v>
      </c>
      <c r="L261" s="77">
        <f t="shared" si="293"/>
        <v>0</v>
      </c>
      <c r="M261" s="77">
        <f t="shared" si="293"/>
        <v>0</v>
      </c>
      <c r="N261" s="77">
        <f t="shared" si="293"/>
        <v>0</v>
      </c>
      <c r="O261" s="77">
        <f t="shared" si="293"/>
        <v>0</v>
      </c>
      <c r="P261" s="77">
        <f t="shared" si="293"/>
        <v>0</v>
      </c>
      <c r="Q261" s="77">
        <f t="shared" si="293"/>
        <v>0</v>
      </c>
      <c r="R261" s="77">
        <f t="shared" si="293"/>
        <v>0</v>
      </c>
      <c r="S261" s="77">
        <f t="shared" si="293"/>
        <v>0</v>
      </c>
      <c r="T261" s="77">
        <f t="shared" si="293"/>
        <v>0</v>
      </c>
      <c r="U261" s="77">
        <f t="shared" si="293"/>
        <v>0</v>
      </c>
      <c r="V261" s="77">
        <f t="shared" si="293"/>
        <v>0</v>
      </c>
      <c r="W261" s="77">
        <f t="shared" si="293"/>
        <v>0</v>
      </c>
      <c r="X261" s="77">
        <f t="shared" si="293"/>
        <v>0</v>
      </c>
      <c r="Y261" s="77">
        <f t="shared" si="293"/>
        <v>0</v>
      </c>
      <c r="Z261" s="77">
        <f t="shared" si="293"/>
        <v>0</v>
      </c>
      <c r="AA261" s="77">
        <f t="shared" si="293"/>
        <v>0</v>
      </c>
      <c r="AB261" s="77">
        <f t="shared" si="293"/>
        <v>0</v>
      </c>
      <c r="AC261" s="77">
        <f t="shared" si="293"/>
        <v>0</v>
      </c>
      <c r="AD261" s="77">
        <f t="shared" si="293"/>
        <v>0</v>
      </c>
      <c r="AE261" s="77">
        <f>AE260/$BI$260</f>
        <v>0</v>
      </c>
      <c r="AF261" s="77">
        <f t="shared" ref="AF261:BP261" si="294">AF260/$CA$260</f>
        <v>3.76364520403554E-2</v>
      </c>
      <c r="AG261" s="77">
        <f t="shared" si="294"/>
        <v>0</v>
      </c>
      <c r="AH261" s="77">
        <f t="shared" si="294"/>
        <v>0</v>
      </c>
      <c r="AI261" s="77">
        <f t="shared" si="294"/>
        <v>0.20137293111998661</v>
      </c>
      <c r="AJ261" s="77">
        <f t="shared" si="294"/>
        <v>0</v>
      </c>
      <c r="AK261" s="77">
        <f t="shared" si="294"/>
        <v>0</v>
      </c>
      <c r="AL261" s="77">
        <f t="shared" si="294"/>
        <v>0</v>
      </c>
      <c r="AM261" s="77">
        <f t="shared" si="294"/>
        <v>0</v>
      </c>
      <c r="AN261" s="77">
        <f t="shared" si="294"/>
        <v>9.3271044442626695E-4</v>
      </c>
      <c r="AO261" s="77">
        <f t="shared" si="294"/>
        <v>0</v>
      </c>
      <c r="AP261" s="77">
        <f t="shared" si="294"/>
        <v>0</v>
      </c>
      <c r="AQ261" s="77">
        <f t="shared" si="294"/>
        <v>0</v>
      </c>
      <c r="AR261" s="77">
        <f t="shared" si="294"/>
        <v>0.10200727682034531</v>
      </c>
      <c r="AS261" s="77">
        <f t="shared" si="294"/>
        <v>0</v>
      </c>
      <c r="AT261" s="77">
        <f t="shared" si="294"/>
        <v>0</v>
      </c>
      <c r="AU261" s="77">
        <f t="shared" si="294"/>
        <v>0</v>
      </c>
      <c r="AV261" s="77">
        <f t="shared" si="294"/>
        <v>0</v>
      </c>
      <c r="AW261" s="77">
        <f t="shared" si="294"/>
        <v>0</v>
      </c>
      <c r="AX261" s="77">
        <f t="shared" si="294"/>
        <v>0</v>
      </c>
      <c r="AY261" s="77">
        <f t="shared" si="294"/>
        <v>0</v>
      </c>
      <c r="AZ261" s="77">
        <f t="shared" si="294"/>
        <v>0</v>
      </c>
      <c r="BA261" s="77">
        <f t="shared" si="294"/>
        <v>0</v>
      </c>
      <c r="BB261" s="77">
        <f t="shared" si="294"/>
        <v>6.6132621538466704E-2</v>
      </c>
      <c r="BC261" s="77">
        <f t="shared" si="294"/>
        <v>0</v>
      </c>
      <c r="BD261" s="77">
        <f t="shared" si="294"/>
        <v>0</v>
      </c>
      <c r="BE261" s="77">
        <f t="shared" si="294"/>
        <v>0</v>
      </c>
      <c r="BF261" s="77">
        <f t="shared" si="294"/>
        <v>0</v>
      </c>
      <c r="BG261" s="77">
        <f t="shared" si="294"/>
        <v>0.44863372376903438</v>
      </c>
      <c r="BH261" s="77">
        <f t="shared" si="294"/>
        <v>0.13462751881953181</v>
      </c>
      <c r="BI261" s="77">
        <f t="shared" si="294"/>
        <v>8.6567654478535115E-3</v>
      </c>
      <c r="BJ261" s="77">
        <f t="shared" si="294"/>
        <v>0</v>
      </c>
      <c r="BK261" s="77">
        <f t="shared" si="294"/>
        <v>0</v>
      </c>
      <c r="BL261" s="77">
        <f t="shared" si="294"/>
        <v>0</v>
      </c>
      <c r="BM261" s="77">
        <f t="shared" si="294"/>
        <v>0</v>
      </c>
      <c r="BN261" s="77">
        <f t="shared" si="294"/>
        <v>0</v>
      </c>
      <c r="BO261" s="77">
        <f t="shared" si="294"/>
        <v>0</v>
      </c>
      <c r="BP261" s="77">
        <f t="shared" si="294"/>
        <v>0</v>
      </c>
      <c r="BQ261" s="77">
        <f t="shared" ref="BQ261:BZ261" si="295">BQ260/$CA$260</f>
        <v>0</v>
      </c>
      <c r="BR261" s="77">
        <f t="shared" si="295"/>
        <v>0</v>
      </c>
      <c r="BS261" s="77">
        <f t="shared" si="295"/>
        <v>0</v>
      </c>
      <c r="BT261" s="77">
        <f t="shared" si="295"/>
        <v>0</v>
      </c>
      <c r="BU261" s="77">
        <f t="shared" si="295"/>
        <v>0</v>
      </c>
      <c r="BV261" s="77">
        <f t="shared" si="295"/>
        <v>0</v>
      </c>
      <c r="BW261" s="77">
        <f t="shared" si="295"/>
        <v>0</v>
      </c>
      <c r="BX261" s="77">
        <f t="shared" si="295"/>
        <v>0</v>
      </c>
      <c r="BY261" s="77">
        <f t="shared" si="295"/>
        <v>0</v>
      </c>
      <c r="BZ261" s="77">
        <f t="shared" si="295"/>
        <v>0</v>
      </c>
      <c r="CA261" s="77">
        <f t="shared" si="215"/>
        <v>1</v>
      </c>
    </row>
    <row r="262" spans="1:81">
      <c r="A262" t="s">
        <v>203</v>
      </c>
      <c r="C262" s="83">
        <f t="shared" ref="C262:AD262" si="296">$CB$260*C261</f>
        <v>0</v>
      </c>
      <c r="D262" s="83">
        <f t="shared" si="296"/>
        <v>0</v>
      </c>
      <c r="E262" s="83">
        <f t="shared" si="296"/>
        <v>0</v>
      </c>
      <c r="F262" s="83">
        <f t="shared" si="296"/>
        <v>0</v>
      </c>
      <c r="G262" s="83">
        <f t="shared" si="296"/>
        <v>0</v>
      </c>
      <c r="H262" s="83">
        <f t="shared" si="296"/>
        <v>0</v>
      </c>
      <c r="I262" s="83">
        <f t="shared" si="296"/>
        <v>0</v>
      </c>
      <c r="J262" s="83">
        <f t="shared" si="296"/>
        <v>0</v>
      </c>
      <c r="K262" s="83">
        <f t="shared" si="296"/>
        <v>0</v>
      </c>
      <c r="L262" s="83">
        <f t="shared" si="296"/>
        <v>0</v>
      </c>
      <c r="M262" s="83">
        <f t="shared" si="296"/>
        <v>0</v>
      </c>
      <c r="N262" s="83">
        <f t="shared" si="296"/>
        <v>0</v>
      </c>
      <c r="O262" s="83">
        <f t="shared" si="296"/>
        <v>0</v>
      </c>
      <c r="P262" s="83">
        <f t="shared" si="296"/>
        <v>0</v>
      </c>
      <c r="Q262" s="83">
        <f t="shared" si="296"/>
        <v>0</v>
      </c>
      <c r="R262" s="83">
        <f t="shared" si="296"/>
        <v>0</v>
      </c>
      <c r="S262" s="83">
        <f t="shared" si="296"/>
        <v>0</v>
      </c>
      <c r="T262" s="83">
        <f t="shared" si="296"/>
        <v>0</v>
      </c>
      <c r="U262" s="83">
        <f t="shared" si="296"/>
        <v>0</v>
      </c>
      <c r="V262" s="83">
        <f t="shared" si="296"/>
        <v>0</v>
      </c>
      <c r="W262" s="83">
        <f t="shared" si="296"/>
        <v>0</v>
      </c>
      <c r="X262" s="83">
        <f t="shared" si="296"/>
        <v>0</v>
      </c>
      <c r="Y262" s="83">
        <f t="shared" si="296"/>
        <v>0</v>
      </c>
      <c r="Z262" s="83">
        <f t="shared" si="296"/>
        <v>0</v>
      </c>
      <c r="AA262" s="83">
        <f t="shared" si="296"/>
        <v>0</v>
      </c>
      <c r="AB262" s="83">
        <f t="shared" si="296"/>
        <v>0</v>
      </c>
      <c r="AC262" s="83">
        <f t="shared" si="296"/>
        <v>0</v>
      </c>
      <c r="AD262" s="83">
        <f t="shared" si="296"/>
        <v>0</v>
      </c>
      <c r="AE262" s="83">
        <f>$BJ$260*AE261</f>
        <v>0</v>
      </c>
      <c r="AF262" s="83">
        <f t="shared" ref="AF262:BP262" si="297">$CB$260*AF261</f>
        <v>7.5272904080710799</v>
      </c>
      <c r="AG262" s="83">
        <f t="shared" si="297"/>
        <v>0</v>
      </c>
      <c r="AH262" s="83">
        <f t="shared" si="297"/>
        <v>0</v>
      </c>
      <c r="AI262" s="83">
        <f t="shared" si="297"/>
        <v>40.274586223997325</v>
      </c>
      <c r="AJ262" s="83">
        <f t="shared" si="297"/>
        <v>0</v>
      </c>
      <c r="AK262" s="83">
        <f t="shared" si="297"/>
        <v>0</v>
      </c>
      <c r="AL262" s="83">
        <f t="shared" si="297"/>
        <v>0</v>
      </c>
      <c r="AM262" s="83">
        <f t="shared" si="297"/>
        <v>0</v>
      </c>
      <c r="AN262" s="83">
        <f t="shared" si="297"/>
        <v>0.18654208888525339</v>
      </c>
      <c r="AO262" s="83">
        <f t="shared" si="297"/>
        <v>0</v>
      </c>
      <c r="AP262" s="83">
        <f t="shared" si="297"/>
        <v>0</v>
      </c>
      <c r="AQ262" s="83">
        <f t="shared" si="297"/>
        <v>0</v>
      </c>
      <c r="AR262" s="83">
        <f t="shared" si="297"/>
        <v>20.401455364069061</v>
      </c>
      <c r="AS262" s="83">
        <f t="shared" si="297"/>
        <v>0</v>
      </c>
      <c r="AT262" s="83">
        <f t="shared" si="297"/>
        <v>0</v>
      </c>
      <c r="AU262" s="83">
        <f t="shared" si="297"/>
        <v>0</v>
      </c>
      <c r="AV262" s="83">
        <f t="shared" si="297"/>
        <v>0</v>
      </c>
      <c r="AW262" s="83">
        <f t="shared" si="297"/>
        <v>0</v>
      </c>
      <c r="AX262" s="83">
        <f t="shared" si="297"/>
        <v>0</v>
      </c>
      <c r="AY262" s="83">
        <f t="shared" si="297"/>
        <v>0</v>
      </c>
      <c r="AZ262" s="83">
        <f t="shared" si="297"/>
        <v>0</v>
      </c>
      <c r="BA262" s="83">
        <f t="shared" si="297"/>
        <v>0</v>
      </c>
      <c r="BB262" s="83">
        <f t="shared" si="297"/>
        <v>13.226524307693341</v>
      </c>
      <c r="BC262" s="83">
        <f t="shared" si="297"/>
        <v>0</v>
      </c>
      <c r="BD262" s="83">
        <f t="shared" si="297"/>
        <v>0</v>
      </c>
      <c r="BE262" s="83">
        <f t="shared" si="297"/>
        <v>0</v>
      </c>
      <c r="BF262" s="83">
        <f t="shared" si="297"/>
        <v>0</v>
      </c>
      <c r="BG262" s="83">
        <f t="shared" si="297"/>
        <v>89.726744753806869</v>
      </c>
      <c r="BH262" s="83">
        <f t="shared" si="297"/>
        <v>26.925503763906359</v>
      </c>
      <c r="BI262" s="83">
        <f t="shared" si="297"/>
        <v>1.7313530895707023</v>
      </c>
      <c r="BJ262" s="83">
        <f t="shared" si="297"/>
        <v>0</v>
      </c>
      <c r="BK262" s="83">
        <f t="shared" si="297"/>
        <v>0</v>
      </c>
      <c r="BL262" s="83">
        <f t="shared" si="297"/>
        <v>0</v>
      </c>
      <c r="BM262" s="83">
        <f t="shared" si="297"/>
        <v>0</v>
      </c>
      <c r="BN262" s="83">
        <f t="shared" si="297"/>
        <v>0</v>
      </c>
      <c r="BO262" s="83">
        <f t="shared" si="297"/>
        <v>0</v>
      </c>
      <c r="BP262" s="83">
        <f t="shared" si="297"/>
        <v>0</v>
      </c>
      <c r="BQ262" s="83">
        <f t="shared" ref="BQ262:BZ262" si="298">$CB$260*BQ261</f>
        <v>0</v>
      </c>
      <c r="BR262" s="83">
        <f t="shared" si="298"/>
        <v>0</v>
      </c>
      <c r="BS262" s="83">
        <f t="shared" si="298"/>
        <v>0</v>
      </c>
      <c r="BT262" s="83">
        <f t="shared" si="298"/>
        <v>0</v>
      </c>
      <c r="BU262" s="83">
        <f t="shared" si="298"/>
        <v>0</v>
      </c>
      <c r="BV262" s="83">
        <f t="shared" si="298"/>
        <v>0</v>
      </c>
      <c r="BW262" s="83">
        <f t="shared" si="298"/>
        <v>0</v>
      </c>
      <c r="BX262" s="83">
        <f t="shared" si="298"/>
        <v>0</v>
      </c>
      <c r="BY262" s="83">
        <f t="shared" si="298"/>
        <v>0</v>
      </c>
      <c r="BZ262" s="83">
        <f t="shared" si="298"/>
        <v>0</v>
      </c>
      <c r="CA262" s="83">
        <f t="shared" si="215"/>
        <v>200</v>
      </c>
    </row>
    <row r="263" spans="1:81">
      <c r="A263" t="s">
        <v>203</v>
      </c>
      <c r="C263" s="83">
        <f>C260+C262</f>
        <v>0</v>
      </c>
      <c r="D263" s="83">
        <f t="shared" ref="D263:BP263" si="299">D260+D262</f>
        <v>0</v>
      </c>
      <c r="E263" s="83">
        <f t="shared" si="299"/>
        <v>0</v>
      </c>
      <c r="F263" s="83">
        <f t="shared" si="299"/>
        <v>0</v>
      </c>
      <c r="G263" s="83">
        <f t="shared" si="299"/>
        <v>0</v>
      </c>
      <c r="H263" s="83">
        <f t="shared" si="299"/>
        <v>0</v>
      </c>
      <c r="I263" s="83">
        <f t="shared" si="299"/>
        <v>0</v>
      </c>
      <c r="J263" s="83">
        <f t="shared" si="299"/>
        <v>0</v>
      </c>
      <c r="K263" s="83">
        <f t="shared" si="299"/>
        <v>0</v>
      </c>
      <c r="L263" s="83">
        <f t="shared" si="299"/>
        <v>0</v>
      </c>
      <c r="M263" s="83">
        <f t="shared" si="299"/>
        <v>0</v>
      </c>
      <c r="N263" s="83">
        <f t="shared" si="299"/>
        <v>0</v>
      </c>
      <c r="O263" s="83">
        <f t="shared" si="299"/>
        <v>0</v>
      </c>
      <c r="P263" s="83">
        <f t="shared" si="299"/>
        <v>0</v>
      </c>
      <c r="Q263" s="83">
        <f t="shared" si="299"/>
        <v>0</v>
      </c>
      <c r="R263" s="83">
        <f t="shared" si="299"/>
        <v>0</v>
      </c>
      <c r="S263" s="83">
        <f t="shared" si="299"/>
        <v>0</v>
      </c>
      <c r="T263" s="83">
        <f t="shared" si="299"/>
        <v>0</v>
      </c>
      <c r="U263" s="83">
        <f t="shared" si="299"/>
        <v>0</v>
      </c>
      <c r="V263" s="83">
        <f t="shared" si="299"/>
        <v>0</v>
      </c>
      <c r="W263" s="83">
        <f t="shared" si="299"/>
        <v>0</v>
      </c>
      <c r="X263" s="83">
        <f t="shared" si="299"/>
        <v>0</v>
      </c>
      <c r="Y263" s="83">
        <f t="shared" si="299"/>
        <v>0</v>
      </c>
      <c r="Z263" s="83">
        <f t="shared" si="299"/>
        <v>0</v>
      </c>
      <c r="AA263" s="83">
        <f t="shared" si="299"/>
        <v>0</v>
      </c>
      <c r="AB263" s="83">
        <f t="shared" si="299"/>
        <v>0</v>
      </c>
      <c r="AC263" s="83">
        <f t="shared" si="299"/>
        <v>0</v>
      </c>
      <c r="AD263" s="83">
        <f t="shared" si="299"/>
        <v>0</v>
      </c>
      <c r="AE263" s="83">
        <f t="shared" ref="AE263" si="300">AE260+AE262</f>
        <v>0</v>
      </c>
      <c r="AF263" s="83">
        <f t="shared" si="299"/>
        <v>8319.9774904080714</v>
      </c>
      <c r="AG263" s="83">
        <f t="shared" si="299"/>
        <v>0</v>
      </c>
      <c r="AH263" s="83">
        <f t="shared" si="299"/>
        <v>0</v>
      </c>
      <c r="AI263" s="83">
        <f t="shared" si="299"/>
        <v>44515.839386224005</v>
      </c>
      <c r="AJ263" s="83">
        <f t="shared" si="299"/>
        <v>0</v>
      </c>
      <c r="AK263" s="83">
        <f t="shared" si="299"/>
        <v>0</v>
      </c>
      <c r="AL263" s="83">
        <f t="shared" si="299"/>
        <v>0</v>
      </c>
      <c r="AM263" s="83">
        <f t="shared" si="299"/>
        <v>0</v>
      </c>
      <c r="AN263" s="83">
        <f t="shared" si="299"/>
        <v>206.18654208888526</v>
      </c>
      <c r="AO263" s="83">
        <f t="shared" si="299"/>
        <v>0</v>
      </c>
      <c r="AP263" s="83">
        <f t="shared" si="299"/>
        <v>0</v>
      </c>
      <c r="AQ263" s="83">
        <f t="shared" si="299"/>
        <v>0</v>
      </c>
      <c r="AR263" s="83">
        <f t="shared" si="299"/>
        <v>22549.90045536407</v>
      </c>
      <c r="AS263" s="83">
        <f t="shared" si="299"/>
        <v>0</v>
      </c>
      <c r="AT263" s="83">
        <f t="shared" si="299"/>
        <v>0</v>
      </c>
      <c r="AU263" s="83">
        <f t="shared" si="299"/>
        <v>0</v>
      </c>
      <c r="AV263" s="83">
        <f t="shared" si="299"/>
        <v>0</v>
      </c>
      <c r="AW263" s="83">
        <f t="shared" si="299"/>
        <v>0</v>
      </c>
      <c r="AX263" s="83">
        <f t="shared" si="299"/>
        <v>0</v>
      </c>
      <c r="AY263" s="83">
        <f t="shared" si="299"/>
        <v>0</v>
      </c>
      <c r="AZ263" s="83">
        <f t="shared" si="299"/>
        <v>0</v>
      </c>
      <c r="BA263" s="83">
        <f t="shared" si="299"/>
        <v>0</v>
      </c>
      <c r="BB263" s="83">
        <f t="shared" si="299"/>
        <v>14619.388724307693</v>
      </c>
      <c r="BC263" s="83">
        <f t="shared" si="299"/>
        <v>0</v>
      </c>
      <c r="BD263" s="83">
        <f t="shared" si="299"/>
        <v>0</v>
      </c>
      <c r="BE263" s="83">
        <f t="shared" si="299"/>
        <v>0</v>
      </c>
      <c r="BF263" s="83">
        <f t="shared" si="299"/>
        <v>0</v>
      </c>
      <c r="BG263" s="83">
        <f t="shared" si="299"/>
        <v>99175.726744753803</v>
      </c>
      <c r="BH263" s="83">
        <f t="shared" si="299"/>
        <v>29760.986103763906</v>
      </c>
      <c r="BI263" s="83">
        <f t="shared" si="299"/>
        <v>1913.6791530895709</v>
      </c>
      <c r="BJ263" s="83">
        <f t="shared" si="299"/>
        <v>0</v>
      </c>
      <c r="BK263" s="83">
        <f t="shared" si="299"/>
        <v>0</v>
      </c>
      <c r="BL263" s="83">
        <f t="shared" si="299"/>
        <v>0</v>
      </c>
      <c r="BM263" s="83">
        <f t="shared" si="299"/>
        <v>0</v>
      </c>
      <c r="BN263" s="83">
        <f t="shared" si="299"/>
        <v>0</v>
      </c>
      <c r="BO263" s="83">
        <f t="shared" si="299"/>
        <v>0</v>
      </c>
      <c r="BP263" s="83">
        <f t="shared" si="299"/>
        <v>0</v>
      </c>
      <c r="BQ263" s="83">
        <f t="shared" ref="BQ263:BZ263" si="301">BQ260+BQ262</f>
        <v>0</v>
      </c>
      <c r="BR263" s="83">
        <f t="shared" si="301"/>
        <v>0</v>
      </c>
      <c r="BS263" s="83">
        <f t="shared" si="301"/>
        <v>0</v>
      </c>
      <c r="BT263" s="83">
        <f t="shared" si="301"/>
        <v>0</v>
      </c>
      <c r="BU263" s="83">
        <f t="shared" si="301"/>
        <v>0</v>
      </c>
      <c r="BV263" s="83">
        <f t="shared" si="301"/>
        <v>0</v>
      </c>
      <c r="BW263" s="83">
        <f t="shared" si="301"/>
        <v>0</v>
      </c>
      <c r="BX263" s="83">
        <f t="shared" si="301"/>
        <v>0</v>
      </c>
      <c r="BY263" s="83">
        <f t="shared" si="301"/>
        <v>0</v>
      </c>
      <c r="BZ263" s="83">
        <f t="shared" si="301"/>
        <v>0</v>
      </c>
      <c r="CA263" s="83">
        <f t="shared" si="215"/>
        <v>221061.68460000001</v>
      </c>
    </row>
  </sheetData>
  <mergeCells count="6">
    <mergeCell ref="A6:CQ6"/>
    <mergeCell ref="A1:CQ1"/>
    <mergeCell ref="A2:CQ2"/>
    <mergeCell ref="A3:CQ3"/>
    <mergeCell ref="A4:CQ4"/>
    <mergeCell ref="A5:CQ5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082D1-557A-4ECC-88C7-0207D601CDFA}">
  <dimension ref="A1:AC94"/>
  <sheetViews>
    <sheetView workbookViewId="0">
      <pane xSplit="2" ySplit="1" topLeftCell="C8" activePane="bottomRight" state="frozen"/>
      <selection pane="topRight"/>
      <selection pane="bottomLeft"/>
      <selection pane="bottomRight" activeCell="T13" sqref="T13"/>
    </sheetView>
  </sheetViews>
  <sheetFormatPr defaultRowHeight="11.25"/>
  <cols>
    <col min="1" max="1" width="11.5" customWidth="1"/>
    <col min="2" max="2" width="15" customWidth="1"/>
    <col min="3" max="3" width="13" customWidth="1"/>
    <col min="5" max="5" width="11.6640625" customWidth="1"/>
    <col min="7" max="7" width="14" customWidth="1"/>
    <col min="9" max="9" width="13.83203125" customWidth="1"/>
    <col min="10" max="10" width="16.6640625" bestFit="1" customWidth="1"/>
    <col min="11" max="12" width="9.83203125" bestFit="1" customWidth="1"/>
    <col min="13" max="13" width="9.83203125" customWidth="1"/>
    <col min="14" max="14" width="12.6640625" bestFit="1" customWidth="1"/>
    <col min="15" max="15" width="24.6640625" bestFit="1" customWidth="1"/>
    <col min="16" max="16" width="23" bestFit="1" customWidth="1"/>
    <col min="17" max="17" width="19.1640625" customWidth="1"/>
    <col min="18" max="18" width="21" hidden="1" customWidth="1"/>
    <col min="19" max="19" width="21.33203125" customWidth="1"/>
    <col min="20" max="20" width="23.33203125" customWidth="1"/>
    <col min="21" max="21" width="13.33203125" hidden="1" customWidth="1"/>
    <col min="23" max="23" width="13.1640625" customWidth="1"/>
    <col min="24" max="24" width="12.83203125" customWidth="1"/>
    <col min="26" max="26" width="11.6640625" bestFit="1" customWidth="1"/>
  </cols>
  <sheetData>
    <row r="1" spans="1:29" ht="60">
      <c r="A1" s="24" t="s">
        <v>344</v>
      </c>
      <c r="B1" s="24" t="s">
        <v>345</v>
      </c>
      <c r="C1" s="24" t="s">
        <v>346</v>
      </c>
      <c r="D1" s="24" t="s">
        <v>347</v>
      </c>
      <c r="E1" s="24" t="s">
        <v>348</v>
      </c>
      <c r="F1" s="24" t="s">
        <v>349</v>
      </c>
      <c r="G1" s="24" t="s">
        <v>350</v>
      </c>
      <c r="H1" s="24" t="s">
        <v>351</v>
      </c>
      <c r="I1" s="24" t="s">
        <v>352</v>
      </c>
      <c r="J1" s="25" t="s">
        <v>353</v>
      </c>
      <c r="K1" s="26" t="s">
        <v>354</v>
      </c>
      <c r="L1" s="26" t="s">
        <v>355</v>
      </c>
      <c r="M1" s="251" t="s">
        <v>356</v>
      </c>
      <c r="N1" s="251"/>
      <c r="O1" s="27" t="s">
        <v>357</v>
      </c>
      <c r="P1" s="27" t="s">
        <v>358</v>
      </c>
      <c r="Q1" s="124" t="s">
        <v>359</v>
      </c>
      <c r="R1" s="124" t="s">
        <v>360</v>
      </c>
      <c r="S1" s="27" t="s">
        <v>361</v>
      </c>
      <c r="T1" s="27" t="s">
        <v>362</v>
      </c>
      <c r="U1" s="27" t="s">
        <v>363</v>
      </c>
      <c r="V1" s="28"/>
    </row>
    <row r="2" spans="1:29" ht="36.75">
      <c r="A2" s="169" t="s">
        <v>364</v>
      </c>
      <c r="B2" s="29" t="s">
        <v>365</v>
      </c>
      <c r="C2" s="29" t="s">
        <v>366</v>
      </c>
      <c r="D2" s="29" t="s">
        <v>367</v>
      </c>
      <c r="E2" s="30">
        <v>44676</v>
      </c>
      <c r="F2" s="29" t="s">
        <v>368</v>
      </c>
      <c r="G2" s="29" t="s">
        <v>369</v>
      </c>
      <c r="H2" s="31">
        <f>J2/26</f>
        <v>3363</v>
      </c>
      <c r="I2" s="32">
        <v>44.84</v>
      </c>
      <c r="J2" s="33">
        <f>I2*1950</f>
        <v>87438</v>
      </c>
      <c r="K2" s="34">
        <v>0.03</v>
      </c>
      <c r="L2" s="34">
        <v>0.03</v>
      </c>
      <c r="M2" s="247"/>
      <c r="N2" s="247"/>
      <c r="O2" s="35">
        <f t="shared" ref="O2:O32" si="0">J2*K2</f>
        <v>2623.14</v>
      </c>
      <c r="P2" s="35">
        <f t="shared" ref="P2:P32" si="1">J2+O2</f>
        <v>90061.14</v>
      </c>
      <c r="Q2" s="125">
        <f>P2*L2</f>
        <v>2701.8341999999998</v>
      </c>
      <c r="R2" s="125">
        <f>P2+Q2</f>
        <v>92762.974199999997</v>
      </c>
      <c r="S2" s="35">
        <f>Q2/4</f>
        <v>675.45854999999995</v>
      </c>
      <c r="T2" s="127">
        <f>P2+S2</f>
        <v>90736.598549999995</v>
      </c>
      <c r="U2" s="35">
        <v>500</v>
      </c>
      <c r="V2" s="28"/>
      <c r="W2" s="123"/>
      <c r="X2" s="123"/>
      <c r="Z2" s="123"/>
    </row>
    <row r="3" spans="1:29" ht="36.75">
      <c r="A3" s="170" t="s">
        <v>370</v>
      </c>
      <c r="B3" s="36" t="s">
        <v>371</v>
      </c>
      <c r="C3" s="36" t="s">
        <v>372</v>
      </c>
      <c r="D3" s="36" t="s">
        <v>373</v>
      </c>
      <c r="E3" s="37">
        <v>44389</v>
      </c>
      <c r="F3" s="36" t="s">
        <v>374</v>
      </c>
      <c r="G3" s="36" t="s">
        <v>369</v>
      </c>
      <c r="H3" s="31">
        <f t="shared" ref="H3" si="2">J3/26</f>
        <v>2256</v>
      </c>
      <c r="I3" s="38">
        <v>30.08</v>
      </c>
      <c r="J3" s="33">
        <f t="shared" ref="J3:J65" si="3">I3*1950</f>
        <v>58656</v>
      </c>
      <c r="K3" s="34">
        <v>0.03</v>
      </c>
      <c r="L3" s="34">
        <v>0.03</v>
      </c>
      <c r="M3" s="247"/>
      <c r="N3" s="247"/>
      <c r="O3" s="35">
        <f t="shared" si="0"/>
        <v>1759.6799999999998</v>
      </c>
      <c r="P3" s="35">
        <f>J3+O3</f>
        <v>60415.68</v>
      </c>
      <c r="Q3" s="125">
        <f t="shared" ref="Q3:Q65" si="4">P3*L3</f>
        <v>1812.4703999999999</v>
      </c>
      <c r="R3" s="125">
        <f t="shared" ref="R3:R65" si="5">P3+Q3</f>
        <v>62228.150399999999</v>
      </c>
      <c r="S3" s="35">
        <f t="shared" ref="S3:S65" si="6">Q3/4</f>
        <v>453.11759999999998</v>
      </c>
      <c r="T3" s="127">
        <f>P3+S3</f>
        <v>60868.797599999998</v>
      </c>
      <c r="U3" s="35">
        <v>500</v>
      </c>
      <c r="V3" s="28"/>
      <c r="W3" s="123"/>
      <c r="X3" s="123"/>
      <c r="Y3" s="119"/>
      <c r="Z3" s="123"/>
    </row>
    <row r="4" spans="1:29" ht="48.75">
      <c r="A4" s="170" t="s">
        <v>375</v>
      </c>
      <c r="B4" s="159" t="s">
        <v>375</v>
      </c>
      <c r="C4" s="159" t="s">
        <v>376</v>
      </c>
      <c r="D4" s="159" t="s">
        <v>377</v>
      </c>
      <c r="E4" s="160">
        <v>45320</v>
      </c>
      <c r="F4" s="36" t="s">
        <v>378</v>
      </c>
      <c r="G4" s="36" t="s">
        <v>369</v>
      </c>
      <c r="H4" s="31">
        <f>J4/26</f>
        <v>2211.75</v>
      </c>
      <c r="I4" s="38">
        <v>29.49</v>
      </c>
      <c r="J4" s="33">
        <f t="shared" si="3"/>
        <v>57505.5</v>
      </c>
      <c r="K4" s="34">
        <v>0.03</v>
      </c>
      <c r="L4" s="34">
        <v>0.03</v>
      </c>
      <c r="M4" s="247"/>
      <c r="N4" s="247"/>
      <c r="O4" s="35">
        <f t="shared" si="0"/>
        <v>1725.165</v>
      </c>
      <c r="P4" s="35">
        <f t="shared" si="1"/>
        <v>59230.665000000001</v>
      </c>
      <c r="Q4" s="125">
        <f t="shared" si="4"/>
        <v>1776.91995</v>
      </c>
      <c r="R4" s="125">
        <f t="shared" si="5"/>
        <v>61007.584950000004</v>
      </c>
      <c r="S4" s="35">
        <f t="shared" si="6"/>
        <v>444.22998749999999</v>
      </c>
      <c r="T4" s="127">
        <f>P4+S4</f>
        <v>59674.894987500003</v>
      </c>
      <c r="U4" s="35">
        <v>500</v>
      </c>
      <c r="V4" s="28"/>
      <c r="W4" s="123"/>
      <c r="X4" s="123"/>
      <c r="Z4" s="123"/>
    </row>
    <row r="5" spans="1:29" ht="36.75">
      <c r="A5" s="170" t="s">
        <v>379</v>
      </c>
      <c r="B5" s="36" t="s">
        <v>380</v>
      </c>
      <c r="C5" s="36" t="s">
        <v>381</v>
      </c>
      <c r="D5" s="36" t="s">
        <v>382</v>
      </c>
      <c r="E5" s="37">
        <v>45054</v>
      </c>
      <c r="F5" s="36" t="s">
        <v>374</v>
      </c>
      <c r="G5" s="36" t="s">
        <v>383</v>
      </c>
      <c r="H5" s="31">
        <f t="shared" ref="H5:H67" si="7">J5/26</f>
        <v>1767.75</v>
      </c>
      <c r="I5" s="38">
        <v>23.57</v>
      </c>
      <c r="J5" s="33">
        <f t="shared" si="3"/>
        <v>45961.5</v>
      </c>
      <c r="K5" s="34">
        <v>0.03</v>
      </c>
      <c r="L5" s="34">
        <v>0.03</v>
      </c>
      <c r="M5" s="247"/>
      <c r="N5" s="247"/>
      <c r="O5" s="35">
        <f t="shared" si="0"/>
        <v>1378.845</v>
      </c>
      <c r="P5" s="35">
        <f t="shared" si="1"/>
        <v>47340.345000000001</v>
      </c>
      <c r="Q5" s="125">
        <f t="shared" si="4"/>
        <v>1420.2103500000001</v>
      </c>
      <c r="R5" s="125">
        <f t="shared" si="5"/>
        <v>48760.555350000002</v>
      </c>
      <c r="S5" s="35">
        <f t="shared" si="6"/>
        <v>355.05258750000002</v>
      </c>
      <c r="T5" s="127">
        <f t="shared" ref="T5:T65" si="8">P5+S5</f>
        <v>47695.397587500003</v>
      </c>
      <c r="U5" s="35">
        <v>500</v>
      </c>
      <c r="V5" s="28"/>
      <c r="W5" s="123"/>
      <c r="X5" s="123"/>
      <c r="Z5" s="123"/>
    </row>
    <row r="6" spans="1:29" ht="48.75">
      <c r="A6" s="170" t="s">
        <v>384</v>
      </c>
      <c r="B6" s="36" t="s">
        <v>385</v>
      </c>
      <c r="C6" s="36" t="s">
        <v>386</v>
      </c>
      <c r="D6" s="36" t="s">
        <v>387</v>
      </c>
      <c r="E6" s="37">
        <v>43136</v>
      </c>
      <c r="F6" s="36" t="s">
        <v>388</v>
      </c>
      <c r="G6" s="36" t="s">
        <v>383</v>
      </c>
      <c r="H6" s="31">
        <f t="shared" si="7"/>
        <v>1875</v>
      </c>
      <c r="I6" s="38">
        <v>25</v>
      </c>
      <c r="J6" s="33">
        <f t="shared" si="3"/>
        <v>48750</v>
      </c>
      <c r="K6" s="34">
        <v>0.03</v>
      </c>
      <c r="L6" s="34">
        <v>0.03</v>
      </c>
      <c r="M6" s="247"/>
      <c r="N6" s="247"/>
      <c r="O6" s="35">
        <f t="shared" si="0"/>
        <v>1462.5</v>
      </c>
      <c r="P6" s="35">
        <f t="shared" si="1"/>
        <v>50212.5</v>
      </c>
      <c r="Q6" s="125">
        <f t="shared" si="4"/>
        <v>1506.375</v>
      </c>
      <c r="R6" s="125">
        <f t="shared" si="5"/>
        <v>51718.875</v>
      </c>
      <c r="S6" s="35">
        <f>Q6/4</f>
        <v>376.59375</v>
      </c>
      <c r="T6" s="127">
        <f t="shared" si="8"/>
        <v>50589.09375</v>
      </c>
      <c r="U6" s="35">
        <v>500</v>
      </c>
      <c r="V6" s="28"/>
      <c r="W6" s="123"/>
      <c r="X6" s="123"/>
      <c r="Z6" s="123"/>
    </row>
    <row r="7" spans="1:29" ht="36.75">
      <c r="A7" s="173" t="s">
        <v>389</v>
      </c>
      <c r="B7" s="42" t="s">
        <v>390</v>
      </c>
      <c r="C7" s="42" t="s">
        <v>391</v>
      </c>
      <c r="D7" s="42" t="s">
        <v>367</v>
      </c>
      <c r="E7" s="43">
        <v>34526</v>
      </c>
      <c r="F7" s="42" t="s">
        <v>374</v>
      </c>
      <c r="G7" s="42" t="s">
        <v>369</v>
      </c>
      <c r="H7" s="268">
        <f t="shared" si="7"/>
        <v>3585</v>
      </c>
      <c r="I7" s="44">
        <v>47.8</v>
      </c>
      <c r="J7" s="269">
        <f t="shared" si="3"/>
        <v>93210</v>
      </c>
      <c r="K7" s="46">
        <v>0</v>
      </c>
      <c r="L7" s="46">
        <v>0</v>
      </c>
      <c r="M7" s="247"/>
      <c r="N7" s="247"/>
      <c r="O7" s="35">
        <f t="shared" si="0"/>
        <v>0</v>
      </c>
      <c r="P7" s="35">
        <f t="shared" si="1"/>
        <v>93210</v>
      </c>
      <c r="Q7" s="125">
        <f t="shared" si="4"/>
        <v>0</v>
      </c>
      <c r="R7" s="125">
        <f t="shared" si="5"/>
        <v>93210</v>
      </c>
      <c r="S7" s="35">
        <f t="shared" si="6"/>
        <v>0</v>
      </c>
      <c r="T7" s="127">
        <f t="shared" si="8"/>
        <v>93210</v>
      </c>
      <c r="U7" s="35">
        <v>500</v>
      </c>
      <c r="V7" s="28" t="s">
        <v>392</v>
      </c>
      <c r="W7" s="123"/>
      <c r="X7" s="123"/>
      <c r="Z7" s="123"/>
    </row>
    <row r="8" spans="1:29" ht="36.75">
      <c r="A8" s="171" t="s">
        <v>393</v>
      </c>
      <c r="B8" s="161" t="s">
        <v>393</v>
      </c>
      <c r="C8" s="161" t="s">
        <v>394</v>
      </c>
      <c r="D8" s="161" t="s">
        <v>367</v>
      </c>
      <c r="E8" s="162"/>
      <c r="F8" s="161" t="s">
        <v>374</v>
      </c>
      <c r="G8" s="161" t="s">
        <v>369</v>
      </c>
      <c r="H8" s="163">
        <f t="shared" si="7"/>
        <v>3654</v>
      </c>
      <c r="I8" s="164">
        <v>48.72</v>
      </c>
      <c r="J8" s="165">
        <f t="shared" si="3"/>
        <v>95004</v>
      </c>
      <c r="K8" s="166">
        <v>0</v>
      </c>
      <c r="L8" s="166">
        <v>0.03</v>
      </c>
      <c r="M8" s="248"/>
      <c r="N8" s="248"/>
      <c r="O8" s="35">
        <f t="shared" si="0"/>
        <v>0</v>
      </c>
      <c r="P8" s="35">
        <f t="shared" si="1"/>
        <v>95004</v>
      </c>
      <c r="Q8" s="125">
        <f t="shared" si="4"/>
        <v>2850.12</v>
      </c>
      <c r="R8" s="125">
        <f t="shared" si="5"/>
        <v>97854.12</v>
      </c>
      <c r="S8" s="35">
        <f t="shared" si="6"/>
        <v>712.53</v>
      </c>
      <c r="T8" s="127">
        <f t="shared" si="8"/>
        <v>95716.53</v>
      </c>
      <c r="U8" s="35">
        <v>500</v>
      </c>
      <c r="V8" s="28"/>
      <c r="W8" s="123"/>
      <c r="X8" s="123"/>
      <c r="Z8" s="123"/>
    </row>
    <row r="9" spans="1:29" ht="36.75">
      <c r="A9" s="170" t="s">
        <v>395</v>
      </c>
      <c r="B9" s="36" t="s">
        <v>396</v>
      </c>
      <c r="C9" s="36" t="s">
        <v>397</v>
      </c>
      <c r="D9" s="36" t="s">
        <v>398</v>
      </c>
      <c r="E9" s="37">
        <v>38607</v>
      </c>
      <c r="F9" s="36" t="s">
        <v>399</v>
      </c>
      <c r="G9" s="36" t="s">
        <v>369</v>
      </c>
      <c r="H9" s="31">
        <f t="shared" si="7"/>
        <v>2847.44</v>
      </c>
      <c r="I9" s="38">
        <f>2847.44/75</f>
        <v>37.96586666666667</v>
      </c>
      <c r="J9" s="33">
        <f t="shared" si="3"/>
        <v>74033.440000000002</v>
      </c>
      <c r="K9" s="34">
        <v>0.03</v>
      </c>
      <c r="L9" s="34">
        <v>0.03</v>
      </c>
      <c r="M9" s="247"/>
      <c r="N9" s="247"/>
      <c r="O9" s="35">
        <f t="shared" si="0"/>
        <v>2221.0032000000001</v>
      </c>
      <c r="P9" s="35">
        <f t="shared" si="1"/>
        <v>76254.443200000009</v>
      </c>
      <c r="Q9" s="125">
        <f t="shared" si="4"/>
        <v>2287.633296</v>
      </c>
      <c r="R9" s="125">
        <f t="shared" si="5"/>
        <v>78542.076496000009</v>
      </c>
      <c r="S9" s="35">
        <f t="shared" si="6"/>
        <v>571.90832399999999</v>
      </c>
      <c r="T9" s="127">
        <f t="shared" si="8"/>
        <v>76826.351524000012</v>
      </c>
      <c r="U9" s="35">
        <v>1050</v>
      </c>
      <c r="V9" s="28"/>
      <c r="W9" s="123"/>
      <c r="X9" s="123"/>
      <c r="Z9" s="123"/>
    </row>
    <row r="10" spans="1:29" ht="42" customHeight="1">
      <c r="A10" s="172" t="s">
        <v>400</v>
      </c>
      <c r="B10" s="152" t="s">
        <v>400</v>
      </c>
      <c r="C10" s="152" t="s">
        <v>401</v>
      </c>
      <c r="D10" s="152" t="s">
        <v>377</v>
      </c>
      <c r="E10" s="153">
        <v>45440</v>
      </c>
      <c r="F10" s="152" t="s">
        <v>402</v>
      </c>
      <c r="G10" s="152" t="s">
        <v>369</v>
      </c>
      <c r="H10" s="154">
        <f t="shared" si="7"/>
        <v>2391</v>
      </c>
      <c r="I10" s="155">
        <v>31.88</v>
      </c>
      <c r="J10" s="158">
        <f t="shared" si="3"/>
        <v>62166</v>
      </c>
      <c r="K10" s="40">
        <v>0.03</v>
      </c>
      <c r="L10" s="40">
        <v>0.03</v>
      </c>
      <c r="M10" s="249"/>
      <c r="N10" s="249"/>
      <c r="O10" s="35">
        <f t="shared" si="0"/>
        <v>1864.98</v>
      </c>
      <c r="P10" s="35">
        <f t="shared" si="1"/>
        <v>64030.98</v>
      </c>
      <c r="Q10" s="125">
        <f t="shared" si="4"/>
        <v>1920.9294</v>
      </c>
      <c r="R10" s="125">
        <f t="shared" si="5"/>
        <v>65951.909400000004</v>
      </c>
      <c r="S10" s="35">
        <f t="shared" si="6"/>
        <v>480.23235</v>
      </c>
      <c r="T10" s="127">
        <f t="shared" si="8"/>
        <v>64511.212350000002</v>
      </c>
      <c r="U10" s="35">
        <v>500</v>
      </c>
      <c r="V10" s="28"/>
      <c r="W10" s="123"/>
      <c r="X10" s="123"/>
      <c r="Z10" s="123"/>
    </row>
    <row r="11" spans="1:29" ht="48.75">
      <c r="A11" s="171" t="s">
        <v>393</v>
      </c>
      <c r="B11" s="171" t="s">
        <v>403</v>
      </c>
      <c r="C11" s="161" t="s">
        <v>404</v>
      </c>
      <c r="D11" s="161" t="s">
        <v>405</v>
      </c>
      <c r="E11" s="162">
        <v>44998</v>
      </c>
      <c r="F11" s="161" t="s">
        <v>406</v>
      </c>
      <c r="G11" s="161" t="s">
        <v>383</v>
      </c>
      <c r="H11" s="163">
        <f t="shared" si="7"/>
        <v>1575</v>
      </c>
      <c r="I11" s="164">
        <v>21</v>
      </c>
      <c r="J11" s="167">
        <f t="shared" si="3"/>
        <v>40950</v>
      </c>
      <c r="K11" s="166">
        <v>0</v>
      </c>
      <c r="L11" s="166">
        <v>0.03</v>
      </c>
      <c r="M11" s="247"/>
      <c r="N11" s="247"/>
      <c r="O11" s="35">
        <f t="shared" si="0"/>
        <v>0</v>
      </c>
      <c r="P11" s="35">
        <f t="shared" si="1"/>
        <v>40950</v>
      </c>
      <c r="Q11" s="125">
        <f t="shared" si="4"/>
        <v>1228.5</v>
      </c>
      <c r="R11" s="125">
        <f t="shared" si="5"/>
        <v>42178.5</v>
      </c>
      <c r="S11" s="35">
        <f t="shared" si="6"/>
        <v>307.125</v>
      </c>
      <c r="T11" s="127">
        <f t="shared" si="8"/>
        <v>41257.125</v>
      </c>
      <c r="U11" s="35">
        <v>500</v>
      </c>
      <c r="V11" s="28"/>
      <c r="W11" s="123"/>
      <c r="X11" s="123"/>
      <c r="Z11" s="123"/>
    </row>
    <row r="12" spans="1:29" ht="36.75">
      <c r="A12" s="170" t="s">
        <v>407</v>
      </c>
      <c r="B12" s="36" t="s">
        <v>408</v>
      </c>
      <c r="C12" s="36" t="s">
        <v>409</v>
      </c>
      <c r="D12" s="36" t="s">
        <v>410</v>
      </c>
      <c r="E12" s="37">
        <v>44935</v>
      </c>
      <c r="F12" s="36" t="s">
        <v>374</v>
      </c>
      <c r="G12" s="36" t="s">
        <v>369</v>
      </c>
      <c r="H12" s="31">
        <f t="shared" si="7"/>
        <v>3264.75</v>
      </c>
      <c r="I12" s="38">
        <v>43.53</v>
      </c>
      <c r="J12" s="39">
        <f t="shared" si="3"/>
        <v>84883.5</v>
      </c>
      <c r="K12" s="40">
        <v>0.03</v>
      </c>
      <c r="L12" s="40">
        <v>0.03</v>
      </c>
      <c r="M12" s="249"/>
      <c r="N12" s="249"/>
      <c r="O12" s="35">
        <f t="shared" si="0"/>
        <v>2546.5050000000001</v>
      </c>
      <c r="P12" s="35">
        <f t="shared" si="1"/>
        <v>87430.005000000005</v>
      </c>
      <c r="Q12" s="125">
        <f t="shared" si="4"/>
        <v>2622.9001499999999</v>
      </c>
      <c r="R12" s="125">
        <f t="shared" si="5"/>
        <v>90052.905150000006</v>
      </c>
      <c r="S12" s="35">
        <f t="shared" si="6"/>
        <v>655.72503749999998</v>
      </c>
      <c r="T12" s="127">
        <f t="shared" si="8"/>
        <v>88085.730037500005</v>
      </c>
      <c r="U12" s="35">
        <v>500</v>
      </c>
      <c r="V12" s="41"/>
      <c r="W12" s="123"/>
      <c r="X12" s="123"/>
      <c r="Z12" s="123"/>
    </row>
    <row r="13" spans="1:29" ht="48.75">
      <c r="A13" s="170" t="s">
        <v>411</v>
      </c>
      <c r="B13" s="36" t="s">
        <v>412</v>
      </c>
      <c r="C13" s="36" t="s">
        <v>404</v>
      </c>
      <c r="D13" s="36" t="s">
        <v>405</v>
      </c>
      <c r="E13" s="37">
        <v>43843</v>
      </c>
      <c r="F13" s="36" t="s">
        <v>406</v>
      </c>
      <c r="G13" s="36" t="s">
        <v>383</v>
      </c>
      <c r="H13" s="31">
        <f t="shared" si="7"/>
        <v>1752</v>
      </c>
      <c r="I13" s="38">
        <v>23.36</v>
      </c>
      <c r="J13" s="39">
        <f t="shared" si="3"/>
        <v>45552</v>
      </c>
      <c r="K13" s="34">
        <v>0.03</v>
      </c>
      <c r="L13" s="34">
        <v>0.03</v>
      </c>
      <c r="M13" s="247"/>
      <c r="N13" s="247"/>
      <c r="O13" s="35">
        <f t="shared" si="0"/>
        <v>1366.56</v>
      </c>
      <c r="P13" s="35">
        <f t="shared" si="1"/>
        <v>46918.559999999998</v>
      </c>
      <c r="Q13" s="125">
        <f t="shared" si="4"/>
        <v>1407.5567999999998</v>
      </c>
      <c r="R13" s="125">
        <f t="shared" si="5"/>
        <v>48326.116799999996</v>
      </c>
      <c r="S13" s="35">
        <f t="shared" si="6"/>
        <v>351.88919999999996</v>
      </c>
      <c r="T13" s="127">
        <f t="shared" si="8"/>
        <v>47270.449199999995</v>
      </c>
      <c r="U13" s="35">
        <v>500</v>
      </c>
      <c r="V13" s="28"/>
      <c r="W13" s="123"/>
      <c r="X13" s="123"/>
      <c r="Z13" s="123"/>
    </row>
    <row r="14" spans="1:29" ht="48.75">
      <c r="A14" s="170" t="s">
        <v>413</v>
      </c>
      <c r="B14" s="36" t="s">
        <v>414</v>
      </c>
      <c r="C14" s="36" t="s">
        <v>415</v>
      </c>
      <c r="D14" s="36" t="s">
        <v>416</v>
      </c>
      <c r="E14" s="37">
        <v>45320</v>
      </c>
      <c r="F14" s="36" t="s">
        <v>378</v>
      </c>
      <c r="G14" s="36" t="s">
        <v>383</v>
      </c>
      <c r="H14" s="31">
        <f t="shared" si="7"/>
        <v>1560</v>
      </c>
      <c r="I14" s="38">
        <v>20.8</v>
      </c>
      <c r="J14" s="39">
        <f t="shared" si="3"/>
        <v>40560</v>
      </c>
      <c r="K14" s="34">
        <v>0.03</v>
      </c>
      <c r="L14" s="34">
        <v>0.03</v>
      </c>
      <c r="M14" s="35">
        <v>1</v>
      </c>
      <c r="N14" s="35">
        <f>(I14+M14)*1950</f>
        <v>42510</v>
      </c>
      <c r="O14" s="35">
        <f>(N14*K14)</f>
        <v>1275.3</v>
      </c>
      <c r="P14" s="35">
        <f>N14+O14</f>
        <v>43785.3</v>
      </c>
      <c r="Q14" s="125">
        <f>P14*L14</f>
        <v>1313.559</v>
      </c>
      <c r="R14" s="125">
        <f t="shared" si="5"/>
        <v>45098.859000000004</v>
      </c>
      <c r="S14" s="35">
        <f>Q14/4</f>
        <v>328.38974999999999</v>
      </c>
      <c r="T14" s="127">
        <f t="shared" si="8"/>
        <v>44113.689750000005</v>
      </c>
      <c r="U14" s="35">
        <v>500</v>
      </c>
      <c r="V14" s="28"/>
      <c r="W14" s="123"/>
      <c r="X14" s="123"/>
      <c r="Z14" s="123"/>
    </row>
    <row r="15" spans="1:29" ht="58.5" customHeight="1">
      <c r="A15" s="170" t="s">
        <v>417</v>
      </c>
      <c r="B15" s="36" t="s">
        <v>418</v>
      </c>
      <c r="C15" s="36" t="s">
        <v>419</v>
      </c>
      <c r="D15" s="36" t="s">
        <v>398</v>
      </c>
      <c r="E15" s="37">
        <v>40637</v>
      </c>
      <c r="F15" s="36" t="s">
        <v>406</v>
      </c>
      <c r="G15" s="36" t="s">
        <v>369</v>
      </c>
      <c r="H15" s="31">
        <f t="shared" si="7"/>
        <v>2408.25</v>
      </c>
      <c r="I15" s="38">
        <v>32.11</v>
      </c>
      <c r="J15" s="39">
        <f t="shared" si="3"/>
        <v>62614.5</v>
      </c>
      <c r="K15" s="34">
        <v>0.03</v>
      </c>
      <c r="L15" s="34">
        <v>0.03</v>
      </c>
      <c r="M15" s="247"/>
      <c r="N15" s="247"/>
      <c r="O15" s="35">
        <f t="shared" si="0"/>
        <v>1878.4349999999999</v>
      </c>
      <c r="P15" s="35">
        <f t="shared" si="1"/>
        <v>64492.934999999998</v>
      </c>
      <c r="Q15" s="125">
        <f t="shared" si="4"/>
        <v>1934.7880499999999</v>
      </c>
      <c r="R15" s="125">
        <f t="shared" si="5"/>
        <v>66427.723050000001</v>
      </c>
      <c r="S15" s="35">
        <f t="shared" si="6"/>
        <v>483.69701249999997</v>
      </c>
      <c r="T15" s="127">
        <f t="shared" si="8"/>
        <v>64976.632012499998</v>
      </c>
      <c r="U15" s="35">
        <v>900</v>
      </c>
      <c r="V15" s="28"/>
      <c r="W15" s="123"/>
      <c r="X15" s="123"/>
      <c r="Z15" s="123"/>
    </row>
    <row r="16" spans="1:29" ht="36.75">
      <c r="A16" s="170" t="s">
        <v>420</v>
      </c>
      <c r="B16" s="36" t="s">
        <v>421</v>
      </c>
      <c r="C16" s="36" t="s">
        <v>422</v>
      </c>
      <c r="D16" s="36" t="s">
        <v>377</v>
      </c>
      <c r="E16" s="37">
        <v>45440</v>
      </c>
      <c r="F16" s="36" t="s">
        <v>374</v>
      </c>
      <c r="G16" s="36" t="s">
        <v>369</v>
      </c>
      <c r="H16" s="31">
        <f t="shared" si="7"/>
        <v>2376.75</v>
      </c>
      <c r="I16" s="38">
        <v>31.69</v>
      </c>
      <c r="J16" s="39">
        <f t="shared" si="3"/>
        <v>61795.5</v>
      </c>
      <c r="K16" s="34">
        <v>0.03</v>
      </c>
      <c r="L16" s="34">
        <v>0.03</v>
      </c>
      <c r="M16" s="247"/>
      <c r="N16" s="247"/>
      <c r="O16" s="35">
        <f t="shared" si="0"/>
        <v>1853.865</v>
      </c>
      <c r="P16" s="35">
        <f t="shared" si="1"/>
        <v>63649.364999999998</v>
      </c>
      <c r="Q16" s="125">
        <f t="shared" si="4"/>
        <v>1909.4809499999999</v>
      </c>
      <c r="R16" s="125">
        <f t="shared" si="5"/>
        <v>65558.845950000003</v>
      </c>
      <c r="S16" s="35">
        <f t="shared" si="6"/>
        <v>477.37023749999997</v>
      </c>
      <c r="T16" s="127">
        <f t="shared" si="8"/>
        <v>64126.735237499997</v>
      </c>
      <c r="U16" s="35">
        <v>500</v>
      </c>
      <c r="V16" s="28"/>
      <c r="W16" s="123"/>
      <c r="X16" s="123"/>
      <c r="Z16" s="123"/>
      <c r="AC16" s="83"/>
    </row>
    <row r="17" spans="1:26" ht="48.75">
      <c r="A17" s="170" t="s">
        <v>423</v>
      </c>
      <c r="B17" s="36" t="s">
        <v>424</v>
      </c>
      <c r="C17" s="36" t="s">
        <v>425</v>
      </c>
      <c r="D17" s="36" t="s">
        <v>426</v>
      </c>
      <c r="E17" s="37">
        <v>44753</v>
      </c>
      <c r="F17" s="36" t="s">
        <v>378</v>
      </c>
      <c r="G17" s="36" t="s">
        <v>383</v>
      </c>
      <c r="H17" s="31">
        <f t="shared" si="7"/>
        <v>1631.25</v>
      </c>
      <c r="I17" s="38">
        <v>21.75</v>
      </c>
      <c r="J17" s="39">
        <f t="shared" si="3"/>
        <v>42412.5</v>
      </c>
      <c r="K17" s="34">
        <v>0.03</v>
      </c>
      <c r="L17" s="34">
        <v>0.03</v>
      </c>
      <c r="M17" s="247"/>
      <c r="N17" s="247"/>
      <c r="O17" s="35">
        <f t="shared" si="0"/>
        <v>1272.375</v>
      </c>
      <c r="P17" s="35">
        <f t="shared" si="1"/>
        <v>43684.875</v>
      </c>
      <c r="Q17" s="125">
        <f t="shared" si="4"/>
        <v>1310.5462499999999</v>
      </c>
      <c r="R17" s="125">
        <f t="shared" si="5"/>
        <v>44995.421249999999</v>
      </c>
      <c r="S17" s="35">
        <f t="shared" si="6"/>
        <v>327.63656249999997</v>
      </c>
      <c r="T17" s="127">
        <f t="shared" si="8"/>
        <v>44012.511562500003</v>
      </c>
      <c r="U17" s="35">
        <v>500</v>
      </c>
      <c r="V17" s="28"/>
      <c r="W17" s="123"/>
      <c r="X17" s="123"/>
      <c r="Z17" s="123"/>
    </row>
    <row r="18" spans="1:26" ht="36.75">
      <c r="A18" s="170" t="s">
        <v>427</v>
      </c>
      <c r="B18" s="36" t="s">
        <v>428</v>
      </c>
      <c r="C18" s="36" t="s">
        <v>429</v>
      </c>
      <c r="D18" s="36" t="s">
        <v>430</v>
      </c>
      <c r="E18" s="37">
        <v>41680</v>
      </c>
      <c r="F18" s="36" t="s">
        <v>431</v>
      </c>
      <c r="G18" s="36" t="s">
        <v>383</v>
      </c>
      <c r="H18" s="31">
        <f t="shared" si="7"/>
        <v>2038.5</v>
      </c>
      <c r="I18" s="38">
        <v>27.18</v>
      </c>
      <c r="J18" s="39">
        <f t="shared" si="3"/>
        <v>53001</v>
      </c>
      <c r="K18" s="34">
        <v>0.03</v>
      </c>
      <c r="L18" s="34">
        <v>0.03</v>
      </c>
      <c r="M18" s="247"/>
      <c r="N18" s="247"/>
      <c r="O18" s="35">
        <f t="shared" si="0"/>
        <v>1590.03</v>
      </c>
      <c r="P18" s="35">
        <f t="shared" si="1"/>
        <v>54591.03</v>
      </c>
      <c r="Q18" s="125">
        <f t="shared" si="4"/>
        <v>1637.7308999999998</v>
      </c>
      <c r="R18" s="125">
        <f t="shared" si="5"/>
        <v>56228.760900000001</v>
      </c>
      <c r="S18" s="35">
        <f t="shared" si="6"/>
        <v>409.43272499999995</v>
      </c>
      <c r="T18" s="127">
        <f t="shared" si="8"/>
        <v>55000.462724999998</v>
      </c>
      <c r="U18" s="35">
        <v>500</v>
      </c>
      <c r="V18" s="28"/>
      <c r="W18" s="123"/>
      <c r="X18" s="123"/>
      <c r="Z18" s="123"/>
    </row>
    <row r="19" spans="1:26" ht="36.75">
      <c r="A19" s="170" t="s">
        <v>432</v>
      </c>
      <c r="B19" s="36" t="s">
        <v>433</v>
      </c>
      <c r="C19" s="36" t="s">
        <v>434</v>
      </c>
      <c r="D19" s="36" t="s">
        <v>435</v>
      </c>
      <c r="E19" s="37">
        <v>43843</v>
      </c>
      <c r="F19" s="36" t="s">
        <v>431</v>
      </c>
      <c r="G19" s="36" t="s">
        <v>383</v>
      </c>
      <c r="H19" s="31">
        <f t="shared" si="7"/>
        <v>1762.5</v>
      </c>
      <c r="I19" s="38">
        <v>23.5</v>
      </c>
      <c r="J19" s="39">
        <f t="shared" si="3"/>
        <v>45825</v>
      </c>
      <c r="K19" s="34">
        <v>0.03</v>
      </c>
      <c r="L19" s="34">
        <v>0.03</v>
      </c>
      <c r="M19" s="247"/>
      <c r="N19" s="247"/>
      <c r="O19" s="35">
        <f t="shared" si="0"/>
        <v>1374.75</v>
      </c>
      <c r="P19" s="35">
        <f t="shared" si="1"/>
        <v>47199.75</v>
      </c>
      <c r="Q19" s="125">
        <f t="shared" si="4"/>
        <v>1415.9924999999998</v>
      </c>
      <c r="R19" s="125">
        <f t="shared" si="5"/>
        <v>48615.7425</v>
      </c>
      <c r="S19" s="35">
        <f t="shared" si="6"/>
        <v>353.99812499999996</v>
      </c>
      <c r="T19" s="127">
        <f t="shared" si="8"/>
        <v>47553.748124999998</v>
      </c>
      <c r="U19" s="35">
        <v>500</v>
      </c>
      <c r="V19" s="28"/>
      <c r="W19" s="123"/>
      <c r="X19" s="123"/>
      <c r="Z19" s="123"/>
    </row>
    <row r="20" spans="1:26" ht="36.75">
      <c r="A20" s="170" t="s">
        <v>436</v>
      </c>
      <c r="B20" s="36" t="s">
        <v>437</v>
      </c>
      <c r="C20" s="36" t="s">
        <v>438</v>
      </c>
      <c r="D20" s="36" t="s">
        <v>439</v>
      </c>
      <c r="E20" s="37">
        <v>44088</v>
      </c>
      <c r="F20" s="36" t="s">
        <v>374</v>
      </c>
      <c r="G20" s="36" t="s">
        <v>369</v>
      </c>
      <c r="H20" s="31">
        <f t="shared" si="7"/>
        <v>3285</v>
      </c>
      <c r="I20" s="38">
        <v>43.8</v>
      </c>
      <c r="J20" s="39">
        <f t="shared" si="3"/>
        <v>85410</v>
      </c>
      <c r="K20" s="34">
        <v>0.03</v>
      </c>
      <c r="L20" s="34">
        <v>0.03</v>
      </c>
      <c r="M20" s="247"/>
      <c r="N20" s="247"/>
      <c r="O20" s="35">
        <f t="shared" si="0"/>
        <v>2562.2999999999997</v>
      </c>
      <c r="P20" s="35">
        <f t="shared" si="1"/>
        <v>87972.3</v>
      </c>
      <c r="Q20" s="125">
        <f t="shared" si="4"/>
        <v>2639.1689999999999</v>
      </c>
      <c r="R20" s="125">
        <f t="shared" si="5"/>
        <v>90611.468999999997</v>
      </c>
      <c r="S20" s="35">
        <f t="shared" si="6"/>
        <v>659.79224999999997</v>
      </c>
      <c r="T20" s="127">
        <f t="shared" si="8"/>
        <v>88632.092250000002</v>
      </c>
      <c r="U20" s="35">
        <v>500</v>
      </c>
      <c r="V20" s="28"/>
      <c r="W20" s="123"/>
      <c r="X20" s="123"/>
      <c r="Z20" s="123"/>
    </row>
    <row r="21" spans="1:26" ht="48.75">
      <c r="A21" s="170" t="s">
        <v>440</v>
      </c>
      <c r="B21" s="36" t="s">
        <v>441</v>
      </c>
      <c r="C21" s="36" t="s">
        <v>442</v>
      </c>
      <c r="D21" s="36" t="s">
        <v>443</v>
      </c>
      <c r="E21" s="37">
        <v>45201</v>
      </c>
      <c r="F21" s="36" t="s">
        <v>399</v>
      </c>
      <c r="G21" s="36" t="s">
        <v>383</v>
      </c>
      <c r="H21" s="31">
        <f t="shared" si="7"/>
        <v>1425</v>
      </c>
      <c r="I21" s="38">
        <v>19</v>
      </c>
      <c r="J21" s="39">
        <f t="shared" si="3"/>
        <v>37050</v>
      </c>
      <c r="K21" s="34">
        <v>0</v>
      </c>
      <c r="L21" s="34">
        <v>0.03</v>
      </c>
      <c r="M21" s="35">
        <v>1</v>
      </c>
      <c r="N21" s="35">
        <f>(I21+M21)*1950</f>
        <v>39000</v>
      </c>
      <c r="O21" s="35">
        <f t="shared" si="0"/>
        <v>0</v>
      </c>
      <c r="P21" s="35">
        <f t="shared" si="1"/>
        <v>37050</v>
      </c>
      <c r="Q21" s="125">
        <f t="shared" si="4"/>
        <v>1111.5</v>
      </c>
      <c r="R21" s="125">
        <f t="shared" si="5"/>
        <v>38161.5</v>
      </c>
      <c r="S21" s="35">
        <f t="shared" si="6"/>
        <v>277.875</v>
      </c>
      <c r="T21" s="127">
        <f t="shared" si="8"/>
        <v>37327.875</v>
      </c>
      <c r="U21" s="35">
        <v>500</v>
      </c>
      <c r="V21" s="28"/>
      <c r="W21" s="123"/>
      <c r="X21" s="123"/>
      <c r="Z21" s="123"/>
    </row>
    <row r="22" spans="1:26" ht="48.75">
      <c r="A22" s="170" t="s">
        <v>444</v>
      </c>
      <c r="B22" s="36" t="s">
        <v>445</v>
      </c>
      <c r="C22" s="36" t="s">
        <v>425</v>
      </c>
      <c r="D22" s="36" t="s">
        <v>426</v>
      </c>
      <c r="E22" s="37">
        <v>43369</v>
      </c>
      <c r="F22" s="36" t="s">
        <v>378</v>
      </c>
      <c r="G22" s="36" t="s">
        <v>383</v>
      </c>
      <c r="H22" s="31">
        <f t="shared" si="7"/>
        <v>1802.25</v>
      </c>
      <c r="I22" s="38">
        <v>24.03</v>
      </c>
      <c r="J22" s="39">
        <f t="shared" si="3"/>
        <v>46858.5</v>
      </c>
      <c r="K22" s="34">
        <v>0.03</v>
      </c>
      <c r="L22" s="34">
        <v>0.03</v>
      </c>
      <c r="M22" s="247"/>
      <c r="N22" s="247"/>
      <c r="O22" s="35">
        <f t="shared" si="0"/>
        <v>1405.7549999999999</v>
      </c>
      <c r="P22" s="35">
        <f t="shared" si="1"/>
        <v>48264.254999999997</v>
      </c>
      <c r="Q22" s="125">
        <f t="shared" si="4"/>
        <v>1447.9276499999999</v>
      </c>
      <c r="R22" s="125">
        <f t="shared" si="5"/>
        <v>49712.182649999995</v>
      </c>
      <c r="S22" s="35">
        <f t="shared" si="6"/>
        <v>361.98191249999996</v>
      </c>
      <c r="T22" s="127">
        <f t="shared" si="8"/>
        <v>48626.236912499997</v>
      </c>
      <c r="U22" s="35">
        <v>500</v>
      </c>
      <c r="V22" s="28"/>
      <c r="W22" s="123"/>
      <c r="X22" s="123"/>
      <c r="Z22" s="123"/>
    </row>
    <row r="23" spans="1:26" ht="36.75">
      <c r="A23" s="170" t="s">
        <v>446</v>
      </c>
      <c r="B23" s="36" t="s">
        <v>447</v>
      </c>
      <c r="C23" s="36" t="s">
        <v>448</v>
      </c>
      <c r="D23" s="36" t="s">
        <v>410</v>
      </c>
      <c r="E23" s="37">
        <v>45201</v>
      </c>
      <c r="F23" s="36" t="s">
        <v>374</v>
      </c>
      <c r="G23" s="36" t="s">
        <v>369</v>
      </c>
      <c r="H23" s="31">
        <f t="shared" si="7"/>
        <v>2307.75</v>
      </c>
      <c r="I23" s="38">
        <v>30.77</v>
      </c>
      <c r="J23" s="39">
        <f t="shared" si="3"/>
        <v>60001.5</v>
      </c>
      <c r="K23" s="34">
        <v>0.03</v>
      </c>
      <c r="L23" s="34">
        <v>0.03</v>
      </c>
      <c r="M23" s="247"/>
      <c r="N23" s="247"/>
      <c r="O23" s="35">
        <f t="shared" si="0"/>
        <v>1800.0449999999998</v>
      </c>
      <c r="P23" s="35">
        <f t="shared" si="1"/>
        <v>61801.544999999998</v>
      </c>
      <c r="Q23" s="125">
        <f t="shared" si="4"/>
        <v>1854.0463499999998</v>
      </c>
      <c r="R23" s="125">
        <f t="shared" si="5"/>
        <v>63655.591349999995</v>
      </c>
      <c r="S23" s="35">
        <f t="shared" si="6"/>
        <v>463.51158749999996</v>
      </c>
      <c r="T23" s="127">
        <f t="shared" si="8"/>
        <v>62265.056587499996</v>
      </c>
      <c r="U23" s="35">
        <v>500</v>
      </c>
      <c r="V23" s="28"/>
      <c r="W23" s="123"/>
      <c r="X23" s="123"/>
      <c r="Z23" s="123"/>
    </row>
    <row r="24" spans="1:26" ht="36.75">
      <c r="A24" s="170" t="s">
        <v>449</v>
      </c>
      <c r="B24" s="36" t="s">
        <v>450</v>
      </c>
      <c r="C24" s="36" t="s">
        <v>451</v>
      </c>
      <c r="D24" s="36" t="s">
        <v>439</v>
      </c>
      <c r="E24" s="37">
        <v>41401</v>
      </c>
      <c r="F24" s="36" t="s">
        <v>452</v>
      </c>
      <c r="G24" s="36" t="s">
        <v>369</v>
      </c>
      <c r="H24" s="31">
        <f t="shared" si="7"/>
        <v>2510.9999999999995</v>
      </c>
      <c r="I24" s="38">
        <v>33.479999999999997</v>
      </c>
      <c r="J24" s="39">
        <f t="shared" si="3"/>
        <v>65285.999999999993</v>
      </c>
      <c r="K24" s="34">
        <v>0.03</v>
      </c>
      <c r="L24" s="34">
        <v>0.03</v>
      </c>
      <c r="M24" s="247"/>
      <c r="N24" s="247"/>
      <c r="O24" s="35">
        <f t="shared" si="0"/>
        <v>1958.5799999999997</v>
      </c>
      <c r="P24" s="35">
        <f t="shared" si="1"/>
        <v>67244.579999999987</v>
      </c>
      <c r="Q24" s="125">
        <f t="shared" si="4"/>
        <v>2017.3373999999994</v>
      </c>
      <c r="R24" s="125">
        <f t="shared" si="5"/>
        <v>69261.917399999991</v>
      </c>
      <c r="S24" s="35">
        <f t="shared" si="6"/>
        <v>504.33434999999986</v>
      </c>
      <c r="T24" s="127">
        <f t="shared" si="8"/>
        <v>67748.914349999992</v>
      </c>
      <c r="U24" s="35">
        <v>500</v>
      </c>
      <c r="V24" s="28"/>
      <c r="W24" s="123"/>
      <c r="X24" s="123"/>
      <c r="Z24" s="123"/>
    </row>
    <row r="25" spans="1:26" ht="36.75">
      <c r="A25" s="170" t="s">
        <v>453</v>
      </c>
      <c r="B25" s="36" t="s">
        <v>453</v>
      </c>
      <c r="C25" s="36" t="s">
        <v>454</v>
      </c>
      <c r="D25" s="36" t="s">
        <v>377</v>
      </c>
      <c r="E25" s="37">
        <v>44949</v>
      </c>
      <c r="F25" s="36" t="s">
        <v>455</v>
      </c>
      <c r="G25" s="36" t="s">
        <v>369</v>
      </c>
      <c r="H25" s="31">
        <f t="shared" si="7"/>
        <v>2099.25</v>
      </c>
      <c r="I25" s="38">
        <v>27.99</v>
      </c>
      <c r="J25" s="39">
        <f t="shared" si="3"/>
        <v>54580.5</v>
      </c>
      <c r="K25" s="34">
        <v>0</v>
      </c>
      <c r="L25" s="34">
        <v>0.03</v>
      </c>
      <c r="M25" s="247"/>
      <c r="N25" s="247"/>
      <c r="O25" s="35">
        <f t="shared" si="0"/>
        <v>0</v>
      </c>
      <c r="P25" s="35">
        <f t="shared" si="1"/>
        <v>54580.5</v>
      </c>
      <c r="Q25" s="125">
        <f t="shared" si="4"/>
        <v>1637.415</v>
      </c>
      <c r="R25" s="125">
        <f t="shared" si="5"/>
        <v>56217.915000000001</v>
      </c>
      <c r="S25" s="35">
        <f t="shared" si="6"/>
        <v>409.35374999999999</v>
      </c>
      <c r="T25" s="127">
        <f>P25+S25</f>
        <v>54989.853750000002</v>
      </c>
      <c r="U25" s="35">
        <v>500</v>
      </c>
      <c r="V25" s="28"/>
      <c r="W25" s="123"/>
      <c r="X25" s="123"/>
      <c r="Z25" s="123"/>
    </row>
    <row r="26" spans="1:26" ht="60.75">
      <c r="A26" s="171" t="s">
        <v>393</v>
      </c>
      <c r="B26" s="161" t="s">
        <v>456</v>
      </c>
      <c r="C26" s="161" t="s">
        <v>404</v>
      </c>
      <c r="D26" s="161" t="s">
        <v>405</v>
      </c>
      <c r="E26" s="162">
        <v>45145</v>
      </c>
      <c r="F26" s="161" t="s">
        <v>457</v>
      </c>
      <c r="G26" s="161" t="s">
        <v>383</v>
      </c>
      <c r="H26" s="163">
        <f t="shared" si="7"/>
        <v>1575</v>
      </c>
      <c r="I26" s="164">
        <v>21</v>
      </c>
      <c r="J26" s="167">
        <f t="shared" si="3"/>
        <v>40950</v>
      </c>
      <c r="K26" s="166">
        <v>0</v>
      </c>
      <c r="L26" s="166">
        <v>0.03</v>
      </c>
      <c r="M26" s="247"/>
      <c r="N26" s="247"/>
      <c r="O26" s="35">
        <f t="shared" si="0"/>
        <v>0</v>
      </c>
      <c r="P26" s="35">
        <f t="shared" si="1"/>
        <v>40950</v>
      </c>
      <c r="Q26" s="125">
        <f t="shared" si="4"/>
        <v>1228.5</v>
      </c>
      <c r="R26" s="125">
        <f t="shared" si="5"/>
        <v>42178.5</v>
      </c>
      <c r="S26" s="35">
        <f t="shared" si="6"/>
        <v>307.125</v>
      </c>
      <c r="T26" s="127">
        <f t="shared" si="8"/>
        <v>41257.125</v>
      </c>
      <c r="U26" s="35">
        <v>500</v>
      </c>
      <c r="V26" s="28"/>
      <c r="W26" s="123"/>
      <c r="X26" s="123"/>
      <c r="Z26" s="123"/>
    </row>
    <row r="27" spans="1:26" ht="48.75">
      <c r="A27" s="170" t="s">
        <v>458</v>
      </c>
      <c r="B27" s="36" t="s">
        <v>459</v>
      </c>
      <c r="C27" s="36" t="s">
        <v>404</v>
      </c>
      <c r="D27" s="36" t="s">
        <v>405</v>
      </c>
      <c r="E27" s="37">
        <v>43745</v>
      </c>
      <c r="F27" s="36" t="s">
        <v>406</v>
      </c>
      <c r="G27" s="36" t="s">
        <v>383</v>
      </c>
      <c r="H27" s="31">
        <f t="shared" si="7"/>
        <v>1752</v>
      </c>
      <c r="I27" s="38">
        <v>23.36</v>
      </c>
      <c r="J27" s="39">
        <f t="shared" si="3"/>
        <v>45552</v>
      </c>
      <c r="K27" s="34">
        <v>0.03</v>
      </c>
      <c r="L27" s="34">
        <v>0.03</v>
      </c>
      <c r="M27" s="247"/>
      <c r="N27" s="247"/>
      <c r="O27" s="35">
        <f t="shared" si="0"/>
        <v>1366.56</v>
      </c>
      <c r="P27" s="35">
        <f t="shared" si="1"/>
        <v>46918.559999999998</v>
      </c>
      <c r="Q27" s="125">
        <f t="shared" si="4"/>
        <v>1407.5567999999998</v>
      </c>
      <c r="R27" s="125">
        <f t="shared" si="5"/>
        <v>48326.116799999996</v>
      </c>
      <c r="S27" s="35">
        <f t="shared" si="6"/>
        <v>351.88919999999996</v>
      </c>
      <c r="T27" s="127">
        <f t="shared" si="8"/>
        <v>47270.449199999995</v>
      </c>
      <c r="U27" s="35">
        <v>500</v>
      </c>
      <c r="V27" s="28"/>
      <c r="W27" s="123"/>
      <c r="X27" s="123"/>
      <c r="Z27" s="123"/>
    </row>
    <row r="28" spans="1:26" ht="48.75">
      <c r="A28" s="170" t="s">
        <v>460</v>
      </c>
      <c r="B28" s="36" t="s">
        <v>461</v>
      </c>
      <c r="C28" s="36" t="s">
        <v>372</v>
      </c>
      <c r="D28" s="36" t="s">
        <v>373</v>
      </c>
      <c r="E28" s="37">
        <v>44361</v>
      </c>
      <c r="F28" s="36" t="s">
        <v>462</v>
      </c>
      <c r="G28" s="36" t="s">
        <v>369</v>
      </c>
      <c r="H28" s="31">
        <f t="shared" si="7"/>
        <v>2339.25</v>
      </c>
      <c r="I28" s="38">
        <v>31.19</v>
      </c>
      <c r="J28" s="39">
        <f t="shared" si="3"/>
        <v>60820.5</v>
      </c>
      <c r="K28" s="34">
        <v>0.03</v>
      </c>
      <c r="L28" s="34">
        <v>0.03</v>
      </c>
      <c r="M28" s="247"/>
      <c r="N28" s="247"/>
      <c r="O28" s="35">
        <f t="shared" si="0"/>
        <v>1824.615</v>
      </c>
      <c r="P28" s="35">
        <f t="shared" si="1"/>
        <v>62645.114999999998</v>
      </c>
      <c r="Q28" s="125">
        <f t="shared" si="4"/>
        <v>1879.3534499999998</v>
      </c>
      <c r="R28" s="125">
        <f t="shared" si="5"/>
        <v>64524.46845</v>
      </c>
      <c r="S28" s="35">
        <f t="shared" si="6"/>
        <v>469.83836249999996</v>
      </c>
      <c r="T28" s="127">
        <f t="shared" si="8"/>
        <v>63114.953362499997</v>
      </c>
      <c r="U28" s="35">
        <v>600</v>
      </c>
      <c r="V28" s="28"/>
      <c r="W28" s="123"/>
      <c r="X28" s="123"/>
      <c r="Z28" s="123"/>
    </row>
    <row r="29" spans="1:26" ht="48.75">
      <c r="A29" s="170" t="s">
        <v>463</v>
      </c>
      <c r="B29" s="36" t="s">
        <v>464</v>
      </c>
      <c r="C29" s="36" t="s">
        <v>442</v>
      </c>
      <c r="D29" s="36" t="s">
        <v>443</v>
      </c>
      <c r="E29" s="37">
        <v>44984</v>
      </c>
      <c r="F29" s="36" t="s">
        <v>399</v>
      </c>
      <c r="G29" s="36" t="s">
        <v>383</v>
      </c>
      <c r="H29" s="31">
        <f t="shared" si="7"/>
        <v>1599</v>
      </c>
      <c r="I29" s="38">
        <v>21.32</v>
      </c>
      <c r="J29" s="39">
        <f t="shared" si="3"/>
        <v>41574</v>
      </c>
      <c r="K29" s="34">
        <v>0.03</v>
      </c>
      <c r="L29" s="34">
        <v>0.03</v>
      </c>
      <c r="M29" s="35">
        <v>1</v>
      </c>
      <c r="N29" s="35">
        <f>(I29+M29)*1950</f>
        <v>43524</v>
      </c>
      <c r="O29" s="35">
        <f>(N29*K29)</f>
        <v>1305.72</v>
      </c>
      <c r="P29" s="35">
        <f>N29+O29</f>
        <v>44829.72</v>
      </c>
      <c r="Q29" s="125">
        <f>P29*L29</f>
        <v>1344.8915999999999</v>
      </c>
      <c r="R29" s="125">
        <f t="shared" ref="R29" si="9">P29+Q29</f>
        <v>46174.611600000004</v>
      </c>
      <c r="S29" s="35">
        <f>Q29/4</f>
        <v>336.22289999999998</v>
      </c>
      <c r="T29" s="127">
        <f t="shared" si="8"/>
        <v>45165.942900000002</v>
      </c>
      <c r="U29" s="35">
        <v>500</v>
      </c>
      <c r="V29" s="28"/>
      <c r="W29" s="123"/>
      <c r="X29" s="123"/>
      <c r="Z29" s="123"/>
    </row>
    <row r="30" spans="1:26" ht="36.75">
      <c r="A30" s="170" t="s">
        <v>465</v>
      </c>
      <c r="B30" s="36" t="s">
        <v>466</v>
      </c>
      <c r="C30" s="36" t="s">
        <v>467</v>
      </c>
      <c r="D30" s="36" t="s">
        <v>377</v>
      </c>
      <c r="E30" s="37">
        <v>44949</v>
      </c>
      <c r="F30" s="36" t="s">
        <v>399</v>
      </c>
      <c r="G30" s="36" t="s">
        <v>383</v>
      </c>
      <c r="H30" s="31">
        <f t="shared" si="7"/>
        <v>1866</v>
      </c>
      <c r="I30" s="38">
        <v>24.88</v>
      </c>
      <c r="J30" s="39">
        <f t="shared" si="3"/>
        <v>48516</v>
      </c>
      <c r="K30" s="40">
        <v>0.03</v>
      </c>
      <c r="L30" s="40">
        <v>0.03</v>
      </c>
      <c r="M30" s="249"/>
      <c r="N30" s="249"/>
      <c r="O30" s="35">
        <f t="shared" si="0"/>
        <v>1455.48</v>
      </c>
      <c r="P30" s="35">
        <f t="shared" si="1"/>
        <v>49971.48</v>
      </c>
      <c r="Q30" s="125">
        <f t="shared" si="4"/>
        <v>1499.1444000000001</v>
      </c>
      <c r="R30" s="125">
        <f t="shared" si="5"/>
        <v>51470.624400000001</v>
      </c>
      <c r="S30" s="35">
        <f t="shared" si="6"/>
        <v>374.78610000000003</v>
      </c>
      <c r="T30" s="127">
        <f t="shared" si="8"/>
        <v>50346.266100000001</v>
      </c>
      <c r="U30" s="35">
        <v>500</v>
      </c>
      <c r="V30" s="41"/>
      <c r="W30" s="123"/>
      <c r="X30" s="123"/>
      <c r="Z30" s="123"/>
    </row>
    <row r="31" spans="1:26" ht="36.75">
      <c r="A31" s="173" t="s">
        <v>468</v>
      </c>
      <c r="B31" s="42" t="s">
        <v>469</v>
      </c>
      <c r="C31" s="42" t="s">
        <v>470</v>
      </c>
      <c r="D31" s="42" t="s">
        <v>430</v>
      </c>
      <c r="E31" s="43">
        <v>37746</v>
      </c>
      <c r="F31" s="42" t="s">
        <v>431</v>
      </c>
      <c r="G31" s="42" t="s">
        <v>383</v>
      </c>
      <c r="H31" s="31">
        <f t="shared" si="7"/>
        <v>2289.75</v>
      </c>
      <c r="I31" s="44">
        <v>30.53</v>
      </c>
      <c r="J31" s="45">
        <f t="shared" si="3"/>
        <v>59533.5</v>
      </c>
      <c r="K31" s="46">
        <v>0</v>
      </c>
      <c r="L31" s="46">
        <v>0</v>
      </c>
      <c r="M31" s="250"/>
      <c r="N31" s="250"/>
      <c r="O31" s="35">
        <f t="shared" si="0"/>
        <v>0</v>
      </c>
      <c r="P31" s="35">
        <f t="shared" si="1"/>
        <v>59533.5</v>
      </c>
      <c r="Q31" s="125">
        <f t="shared" si="4"/>
        <v>0</v>
      </c>
      <c r="R31" s="125">
        <f t="shared" si="5"/>
        <v>59533.5</v>
      </c>
      <c r="S31" s="35">
        <f t="shared" si="6"/>
        <v>0</v>
      </c>
      <c r="T31" s="127">
        <f t="shared" si="8"/>
        <v>59533.5</v>
      </c>
      <c r="U31" s="35">
        <v>500</v>
      </c>
      <c r="V31" s="41" t="s">
        <v>471</v>
      </c>
      <c r="W31" s="123"/>
      <c r="X31" s="123"/>
      <c r="Z31" s="123"/>
    </row>
    <row r="32" spans="1:26" ht="60.75">
      <c r="A32" s="173" t="s">
        <v>472</v>
      </c>
      <c r="B32" s="42" t="s">
        <v>473</v>
      </c>
      <c r="C32" s="42" t="s">
        <v>474</v>
      </c>
      <c r="D32" s="42" t="s">
        <v>398</v>
      </c>
      <c r="E32" s="43">
        <v>38509</v>
      </c>
      <c r="F32" s="42" t="s">
        <v>475</v>
      </c>
      <c r="G32" s="42" t="s">
        <v>369</v>
      </c>
      <c r="H32" s="31">
        <f t="shared" si="7"/>
        <v>2605.5</v>
      </c>
      <c r="I32" s="44">
        <v>34.74</v>
      </c>
      <c r="J32" s="45">
        <f t="shared" si="3"/>
        <v>67743</v>
      </c>
      <c r="K32" s="46">
        <v>0</v>
      </c>
      <c r="L32" s="46">
        <v>0</v>
      </c>
      <c r="M32" s="250"/>
      <c r="N32" s="250"/>
      <c r="O32" s="35">
        <f t="shared" si="0"/>
        <v>0</v>
      </c>
      <c r="P32" s="35">
        <f t="shared" si="1"/>
        <v>67743</v>
      </c>
      <c r="Q32" s="125">
        <f t="shared" si="4"/>
        <v>0</v>
      </c>
      <c r="R32" s="125">
        <f t="shared" si="5"/>
        <v>67743</v>
      </c>
      <c r="S32" s="35">
        <f t="shared" si="6"/>
        <v>0</v>
      </c>
      <c r="T32" s="127">
        <f t="shared" si="8"/>
        <v>67743</v>
      </c>
      <c r="U32" s="35">
        <v>500</v>
      </c>
      <c r="V32" s="41" t="s">
        <v>471</v>
      </c>
      <c r="W32" s="123"/>
      <c r="X32" s="123"/>
      <c r="Z32" s="123"/>
    </row>
    <row r="33" spans="1:26" ht="48.75">
      <c r="A33" s="170" t="s">
        <v>476</v>
      </c>
      <c r="B33" s="36" t="s">
        <v>477</v>
      </c>
      <c r="C33" s="36" t="s">
        <v>442</v>
      </c>
      <c r="D33" s="36" t="s">
        <v>443</v>
      </c>
      <c r="E33" s="37">
        <v>44690</v>
      </c>
      <c r="F33" s="36" t="s">
        <v>399</v>
      </c>
      <c r="G33" s="36" t="s">
        <v>383</v>
      </c>
      <c r="H33" s="31">
        <f t="shared" si="7"/>
        <v>1611.75</v>
      </c>
      <c r="I33" s="38">
        <v>21.49</v>
      </c>
      <c r="J33" s="39">
        <f t="shared" si="3"/>
        <v>41905.5</v>
      </c>
      <c r="K33" s="34">
        <v>0.03</v>
      </c>
      <c r="L33" s="34">
        <v>0.03</v>
      </c>
      <c r="M33" s="35">
        <v>1</v>
      </c>
      <c r="N33" s="35">
        <f>(I33+M33)*1950</f>
        <v>43855.5</v>
      </c>
      <c r="O33" s="35">
        <f>(N33*K33)</f>
        <v>1315.665</v>
      </c>
      <c r="P33" s="35">
        <f>N33+O33</f>
        <v>45171.165000000001</v>
      </c>
      <c r="Q33" s="125">
        <f>P33*L33</f>
        <v>1355.1349499999999</v>
      </c>
      <c r="R33" s="125">
        <f t="shared" si="5"/>
        <v>46526.299950000001</v>
      </c>
      <c r="S33" s="35">
        <f>Q33/4</f>
        <v>338.78373749999997</v>
      </c>
      <c r="T33" s="127">
        <f t="shared" si="8"/>
        <v>45509.948737500003</v>
      </c>
      <c r="U33" s="35">
        <v>500</v>
      </c>
      <c r="V33" s="28"/>
      <c r="W33" s="123"/>
      <c r="X33" s="123"/>
      <c r="Z33" s="123"/>
    </row>
    <row r="34" spans="1:26" ht="48.75">
      <c r="A34" s="170" t="s">
        <v>478</v>
      </c>
      <c r="B34" s="36" t="s">
        <v>479</v>
      </c>
      <c r="C34" s="36" t="s">
        <v>442</v>
      </c>
      <c r="D34" s="36" t="s">
        <v>443</v>
      </c>
      <c r="E34" s="37">
        <v>45383</v>
      </c>
      <c r="F34" s="36" t="s">
        <v>399</v>
      </c>
      <c r="G34" s="36" t="s">
        <v>383</v>
      </c>
      <c r="H34" s="31">
        <f t="shared" si="7"/>
        <v>1557</v>
      </c>
      <c r="I34" s="38">
        <v>20.76</v>
      </c>
      <c r="J34" s="39">
        <f t="shared" si="3"/>
        <v>40482</v>
      </c>
      <c r="K34" s="34">
        <v>0.03</v>
      </c>
      <c r="L34" s="34">
        <v>0.03</v>
      </c>
      <c r="M34" s="35">
        <v>1</v>
      </c>
      <c r="N34" s="35">
        <f t="shared" ref="N34:N35" si="10">(I34+M34)*1950</f>
        <v>42432</v>
      </c>
      <c r="O34" s="35">
        <f t="shared" ref="O34:O35" si="11">(N34*K34)</f>
        <v>1272.96</v>
      </c>
      <c r="P34" s="35">
        <f t="shared" ref="P34:P35" si="12">N34+O34</f>
        <v>43704.959999999999</v>
      </c>
      <c r="Q34" s="125">
        <f t="shared" ref="Q34:Q35" si="13">P34*L34</f>
        <v>1311.1487999999999</v>
      </c>
      <c r="R34" s="125">
        <f t="shared" ref="R34:R35" si="14">P34+Q34</f>
        <v>45016.108800000002</v>
      </c>
      <c r="S34" s="35">
        <f t="shared" ref="S34:S35" si="15">Q34/4</f>
        <v>327.78719999999998</v>
      </c>
      <c r="T34" s="127">
        <f t="shared" si="8"/>
        <v>44032.747199999998</v>
      </c>
      <c r="U34" s="35">
        <v>500</v>
      </c>
      <c r="V34" s="28"/>
      <c r="W34" s="123"/>
      <c r="X34" s="123"/>
      <c r="Z34" s="123"/>
    </row>
    <row r="35" spans="1:26" ht="48.75">
      <c r="A35" s="170" t="s">
        <v>480</v>
      </c>
      <c r="B35" s="36" t="s">
        <v>480</v>
      </c>
      <c r="C35" s="36" t="s">
        <v>442</v>
      </c>
      <c r="D35" s="36" t="s">
        <v>443</v>
      </c>
      <c r="E35" s="37">
        <v>45222</v>
      </c>
      <c r="F35" s="36" t="s">
        <v>399</v>
      </c>
      <c r="G35" s="36" t="s">
        <v>383</v>
      </c>
      <c r="H35" s="31">
        <f t="shared" si="7"/>
        <v>1557</v>
      </c>
      <c r="I35" s="38">
        <v>20.76</v>
      </c>
      <c r="J35" s="39">
        <f t="shared" si="3"/>
        <v>40482</v>
      </c>
      <c r="K35" s="34">
        <v>0</v>
      </c>
      <c r="L35" s="34">
        <v>0.03</v>
      </c>
      <c r="M35" s="35">
        <v>1</v>
      </c>
      <c r="N35" s="35">
        <f t="shared" si="10"/>
        <v>42432</v>
      </c>
      <c r="O35" s="35">
        <f t="shared" si="11"/>
        <v>0</v>
      </c>
      <c r="P35" s="35">
        <f t="shared" si="12"/>
        <v>42432</v>
      </c>
      <c r="Q35" s="125">
        <f t="shared" si="13"/>
        <v>1272.96</v>
      </c>
      <c r="R35" s="125">
        <f t="shared" si="14"/>
        <v>43704.959999999999</v>
      </c>
      <c r="S35" s="35">
        <f t="shared" si="15"/>
        <v>318.24</v>
      </c>
      <c r="T35" s="127">
        <f t="shared" si="8"/>
        <v>42750.239999999998</v>
      </c>
      <c r="U35" s="35">
        <v>500</v>
      </c>
      <c r="V35" s="28"/>
      <c r="W35" s="123"/>
      <c r="X35" s="123"/>
      <c r="Z35" s="123"/>
    </row>
    <row r="36" spans="1:26" ht="36.75">
      <c r="A36" s="170" t="s">
        <v>481</v>
      </c>
      <c r="B36" s="36" t="s">
        <v>482</v>
      </c>
      <c r="C36" s="36" t="s">
        <v>483</v>
      </c>
      <c r="D36" s="36" t="s">
        <v>367</v>
      </c>
      <c r="E36" s="37">
        <v>39244</v>
      </c>
      <c r="F36" s="36" t="s">
        <v>374</v>
      </c>
      <c r="G36" s="36" t="s">
        <v>383</v>
      </c>
      <c r="H36" s="31">
        <f t="shared" si="7"/>
        <v>2368.5</v>
      </c>
      <c r="I36" s="38">
        <v>31.58</v>
      </c>
      <c r="J36" s="39">
        <f t="shared" si="3"/>
        <v>61581</v>
      </c>
      <c r="K36" s="34">
        <v>0.03</v>
      </c>
      <c r="L36" s="34">
        <v>0.03</v>
      </c>
      <c r="M36" s="247"/>
      <c r="N36" s="247"/>
      <c r="O36" s="35">
        <f t="shared" ref="O36:O65" si="16">J36*K36</f>
        <v>1847.4299999999998</v>
      </c>
      <c r="P36" s="35">
        <f t="shared" ref="P36:P65" si="17">J36+O36</f>
        <v>63428.43</v>
      </c>
      <c r="Q36" s="125">
        <f t="shared" si="4"/>
        <v>1902.8528999999999</v>
      </c>
      <c r="R36" s="125">
        <f t="shared" si="5"/>
        <v>65331.282899999998</v>
      </c>
      <c r="S36" s="35">
        <f t="shared" si="6"/>
        <v>475.71322499999997</v>
      </c>
      <c r="T36" s="127">
        <f t="shared" si="8"/>
        <v>63904.143225</v>
      </c>
      <c r="U36" s="35">
        <v>500</v>
      </c>
      <c r="V36" s="28"/>
      <c r="W36" s="123"/>
      <c r="X36" s="123"/>
      <c r="Z36" s="123"/>
    </row>
    <row r="37" spans="1:26" ht="48.75">
      <c r="A37" s="170" t="s">
        <v>484</v>
      </c>
      <c r="B37" s="36" t="s">
        <v>484</v>
      </c>
      <c r="C37" s="36" t="s">
        <v>415</v>
      </c>
      <c r="D37" s="36" t="s">
        <v>416</v>
      </c>
      <c r="E37" s="37">
        <v>45293</v>
      </c>
      <c r="F37" s="36" t="s">
        <v>378</v>
      </c>
      <c r="G37" s="36" t="s">
        <v>383</v>
      </c>
      <c r="H37" s="31">
        <f t="shared" si="7"/>
        <v>1575</v>
      </c>
      <c r="I37" s="38">
        <v>21</v>
      </c>
      <c r="J37" s="39">
        <f t="shared" si="3"/>
        <v>40950</v>
      </c>
      <c r="K37" s="34">
        <v>0.03</v>
      </c>
      <c r="L37" s="34">
        <v>0.03</v>
      </c>
      <c r="M37" s="35">
        <v>1</v>
      </c>
      <c r="N37" s="35">
        <f t="shared" ref="N37" si="18">(I37+M37)*1950</f>
        <v>42900</v>
      </c>
      <c r="O37" s="35">
        <f t="shared" ref="O37" si="19">(N37*K37)</f>
        <v>1287</v>
      </c>
      <c r="P37" s="35">
        <f t="shared" ref="P37" si="20">N37+O37</f>
        <v>44187</v>
      </c>
      <c r="Q37" s="125">
        <f t="shared" si="4"/>
        <v>1325.61</v>
      </c>
      <c r="R37" s="125">
        <f t="shared" si="5"/>
        <v>45512.61</v>
      </c>
      <c r="S37" s="35">
        <f t="shared" si="6"/>
        <v>331.40249999999997</v>
      </c>
      <c r="T37" s="127">
        <f t="shared" si="8"/>
        <v>44518.402499999997</v>
      </c>
      <c r="U37" s="35">
        <v>500</v>
      </c>
      <c r="V37" s="28"/>
      <c r="W37" s="123"/>
      <c r="X37" s="123"/>
      <c r="Z37" s="123"/>
    </row>
    <row r="38" spans="1:26" ht="36.75">
      <c r="A38" s="170" t="s">
        <v>485</v>
      </c>
      <c r="B38" s="36" t="s">
        <v>486</v>
      </c>
      <c r="C38" s="36" t="s">
        <v>487</v>
      </c>
      <c r="D38" s="36" t="s">
        <v>410</v>
      </c>
      <c r="E38" s="37">
        <v>44215</v>
      </c>
      <c r="F38" s="36" t="s">
        <v>374</v>
      </c>
      <c r="G38" s="36" t="s">
        <v>369</v>
      </c>
      <c r="H38" s="31">
        <f t="shared" si="7"/>
        <v>4753.5</v>
      </c>
      <c r="I38" s="38">
        <v>63.38</v>
      </c>
      <c r="J38" s="39">
        <f t="shared" si="3"/>
        <v>123591</v>
      </c>
      <c r="K38" s="34">
        <v>0.03</v>
      </c>
      <c r="L38" s="34">
        <v>0.03</v>
      </c>
      <c r="M38" s="247"/>
      <c r="N38" s="247"/>
      <c r="O38" s="35">
        <f t="shared" si="16"/>
        <v>3707.73</v>
      </c>
      <c r="P38" s="35">
        <f t="shared" si="17"/>
        <v>127298.73</v>
      </c>
      <c r="Q38" s="125">
        <f t="shared" si="4"/>
        <v>3818.9618999999998</v>
      </c>
      <c r="R38" s="125">
        <f t="shared" si="5"/>
        <v>131117.69190000001</v>
      </c>
      <c r="S38" s="35">
        <f t="shared" si="6"/>
        <v>954.74047499999995</v>
      </c>
      <c r="T38" s="127">
        <f t="shared" si="8"/>
        <v>128253.47047499999</v>
      </c>
      <c r="U38" s="35">
        <v>500</v>
      </c>
      <c r="V38" s="28"/>
      <c r="W38" s="123"/>
      <c r="X38" s="123"/>
      <c r="Z38" s="123"/>
    </row>
    <row r="39" spans="1:26" ht="48.75">
      <c r="A39" s="170" t="s">
        <v>488</v>
      </c>
      <c r="B39" s="36" t="s">
        <v>489</v>
      </c>
      <c r="C39" s="36" t="s">
        <v>386</v>
      </c>
      <c r="D39" s="36" t="s">
        <v>387</v>
      </c>
      <c r="E39" s="37">
        <v>45397</v>
      </c>
      <c r="F39" s="36" t="s">
        <v>388</v>
      </c>
      <c r="G39" s="36" t="s">
        <v>383</v>
      </c>
      <c r="H39" s="31">
        <f t="shared" si="7"/>
        <v>1808.25</v>
      </c>
      <c r="I39" s="38">
        <v>24.11</v>
      </c>
      <c r="J39" s="39">
        <f t="shared" si="3"/>
        <v>47014.5</v>
      </c>
      <c r="K39" s="34">
        <v>0.03</v>
      </c>
      <c r="L39" s="34">
        <v>0.03</v>
      </c>
      <c r="M39" s="247"/>
      <c r="N39" s="247"/>
      <c r="O39" s="35">
        <f t="shared" si="16"/>
        <v>1410.4349999999999</v>
      </c>
      <c r="P39" s="35">
        <f t="shared" si="17"/>
        <v>48424.934999999998</v>
      </c>
      <c r="Q39" s="125">
        <f t="shared" si="4"/>
        <v>1452.7480499999999</v>
      </c>
      <c r="R39" s="125">
        <f t="shared" si="5"/>
        <v>49877.68305</v>
      </c>
      <c r="S39" s="35">
        <f t="shared" si="6"/>
        <v>363.18701249999998</v>
      </c>
      <c r="T39" s="127">
        <f t="shared" si="8"/>
        <v>48788.122012499996</v>
      </c>
      <c r="U39" s="35">
        <v>500</v>
      </c>
      <c r="V39" s="28"/>
      <c r="W39" s="123"/>
      <c r="X39" s="123"/>
      <c r="Z39" s="123"/>
    </row>
    <row r="40" spans="1:26" ht="36.75">
      <c r="A40" s="170" t="s">
        <v>490</v>
      </c>
      <c r="B40" s="36" t="s">
        <v>491</v>
      </c>
      <c r="C40" s="36" t="s">
        <v>492</v>
      </c>
      <c r="D40" s="36" t="s">
        <v>430</v>
      </c>
      <c r="E40" s="37">
        <v>44935</v>
      </c>
      <c r="F40" s="36" t="s">
        <v>493</v>
      </c>
      <c r="G40" s="36" t="s">
        <v>383</v>
      </c>
      <c r="H40" s="31">
        <f t="shared" si="7"/>
        <v>1762.5</v>
      </c>
      <c r="I40" s="38">
        <v>23.5</v>
      </c>
      <c r="J40" s="39">
        <f t="shared" si="3"/>
        <v>45825</v>
      </c>
      <c r="K40" s="34">
        <v>0.03</v>
      </c>
      <c r="L40" s="34">
        <v>0.03</v>
      </c>
      <c r="M40" s="247"/>
      <c r="N40" s="247"/>
      <c r="O40" s="35">
        <f t="shared" si="16"/>
        <v>1374.75</v>
      </c>
      <c r="P40" s="35">
        <f t="shared" si="17"/>
        <v>47199.75</v>
      </c>
      <c r="Q40" s="125">
        <f t="shared" si="4"/>
        <v>1415.9924999999998</v>
      </c>
      <c r="R40" s="125">
        <f t="shared" si="5"/>
        <v>48615.7425</v>
      </c>
      <c r="S40" s="35">
        <f t="shared" si="6"/>
        <v>353.99812499999996</v>
      </c>
      <c r="T40" s="127">
        <f t="shared" si="8"/>
        <v>47553.748124999998</v>
      </c>
      <c r="U40" s="35">
        <v>500</v>
      </c>
      <c r="V40" s="28"/>
      <c r="W40" s="123"/>
      <c r="X40" s="123"/>
      <c r="Z40" s="123"/>
    </row>
    <row r="41" spans="1:26" ht="36.75">
      <c r="A41" s="170" t="s">
        <v>494</v>
      </c>
      <c r="B41" s="36" t="s">
        <v>495</v>
      </c>
      <c r="C41" s="36" t="s">
        <v>415</v>
      </c>
      <c r="D41" s="36" t="s">
        <v>416</v>
      </c>
      <c r="E41" s="37">
        <v>45145</v>
      </c>
      <c r="F41" s="36" t="s">
        <v>496</v>
      </c>
      <c r="G41" s="36" t="s">
        <v>383</v>
      </c>
      <c r="H41" s="31">
        <f t="shared" si="7"/>
        <v>1500</v>
      </c>
      <c r="I41" s="38">
        <v>20</v>
      </c>
      <c r="J41" s="39">
        <f t="shared" si="3"/>
        <v>39000</v>
      </c>
      <c r="K41" s="34">
        <v>0</v>
      </c>
      <c r="L41" s="34">
        <v>0.03</v>
      </c>
      <c r="M41" s="35">
        <v>1</v>
      </c>
      <c r="N41" s="35">
        <f t="shared" ref="N41" si="21">(I41+M41)*1950</f>
        <v>40950</v>
      </c>
      <c r="O41" s="35">
        <f t="shared" ref="O41" si="22">(N41*K41)</f>
        <v>0</v>
      </c>
      <c r="P41" s="35">
        <f t="shared" ref="P41" si="23">N41+O41</f>
        <v>40950</v>
      </c>
      <c r="Q41" s="125">
        <f t="shared" ref="Q41" si="24">P41*L41</f>
        <v>1228.5</v>
      </c>
      <c r="R41" s="125">
        <f t="shared" ref="R41" si="25">P41+Q41</f>
        <v>42178.5</v>
      </c>
      <c r="S41" s="35">
        <f t="shared" ref="S41" si="26">Q41/4</f>
        <v>307.125</v>
      </c>
      <c r="T41" s="127">
        <f t="shared" si="8"/>
        <v>41257.125</v>
      </c>
      <c r="U41" s="35">
        <v>500</v>
      </c>
      <c r="V41" s="28"/>
      <c r="W41" s="123"/>
      <c r="X41" s="123"/>
      <c r="Z41" s="123"/>
    </row>
    <row r="42" spans="1:26" ht="48.75">
      <c r="A42" s="170" t="s">
        <v>497</v>
      </c>
      <c r="B42" s="36" t="s">
        <v>497</v>
      </c>
      <c r="C42" s="36" t="s">
        <v>415</v>
      </c>
      <c r="D42" s="36" t="s">
        <v>416</v>
      </c>
      <c r="E42" s="37">
        <v>45411</v>
      </c>
      <c r="F42" s="36" t="s">
        <v>378</v>
      </c>
      <c r="G42" s="36" t="s">
        <v>383</v>
      </c>
      <c r="H42" s="31">
        <f t="shared" si="7"/>
        <v>1500</v>
      </c>
      <c r="I42" s="38">
        <v>20</v>
      </c>
      <c r="J42" s="39">
        <f t="shared" si="3"/>
        <v>39000</v>
      </c>
      <c r="K42" s="34">
        <v>0.03</v>
      </c>
      <c r="L42" s="34">
        <v>0.03</v>
      </c>
      <c r="M42" s="35">
        <v>1</v>
      </c>
      <c r="N42" s="35">
        <f t="shared" ref="N42" si="27">(I42+M42)*1950</f>
        <v>40950</v>
      </c>
      <c r="O42" s="35">
        <f t="shared" ref="O42" si="28">(N42*K42)</f>
        <v>1228.5</v>
      </c>
      <c r="P42" s="35">
        <f t="shared" ref="P42" si="29">N42+O42</f>
        <v>42178.5</v>
      </c>
      <c r="Q42" s="125">
        <f t="shared" ref="Q42" si="30">P42*L42</f>
        <v>1265.355</v>
      </c>
      <c r="R42" s="125">
        <f t="shared" ref="R42" si="31">P42+Q42</f>
        <v>43443.855000000003</v>
      </c>
      <c r="S42" s="35">
        <f t="shared" ref="S42" si="32">Q42/4</f>
        <v>316.33875</v>
      </c>
      <c r="T42" s="127">
        <f t="shared" si="8"/>
        <v>42494.838750000003</v>
      </c>
      <c r="U42" s="35">
        <v>500</v>
      </c>
      <c r="V42" s="28"/>
      <c r="W42" s="123"/>
      <c r="X42" s="123"/>
      <c r="Z42" s="123"/>
    </row>
    <row r="43" spans="1:26" ht="46.5" customHeight="1">
      <c r="A43" s="170" t="s">
        <v>498</v>
      </c>
      <c r="B43" s="36" t="s">
        <v>499</v>
      </c>
      <c r="C43" s="36" t="s">
        <v>500</v>
      </c>
      <c r="D43" s="36" t="s">
        <v>430</v>
      </c>
      <c r="E43" s="37">
        <v>44609</v>
      </c>
      <c r="F43" s="36" t="s">
        <v>501</v>
      </c>
      <c r="G43" s="36" t="s">
        <v>369</v>
      </c>
      <c r="H43" s="31">
        <f t="shared" si="7"/>
        <v>1692.3076923076924</v>
      </c>
      <c r="I43" s="38">
        <f>44000/1950</f>
        <v>22.564102564102566</v>
      </c>
      <c r="J43" s="39">
        <f t="shared" si="3"/>
        <v>44000</v>
      </c>
      <c r="K43" s="40">
        <v>0.03</v>
      </c>
      <c r="L43" s="40">
        <v>0.03</v>
      </c>
      <c r="M43" s="249"/>
      <c r="N43" s="249"/>
      <c r="O43" s="35">
        <f t="shared" si="16"/>
        <v>1320</v>
      </c>
      <c r="P43" s="35">
        <f t="shared" si="17"/>
        <v>45320</v>
      </c>
      <c r="Q43" s="125">
        <f t="shared" si="4"/>
        <v>1359.6</v>
      </c>
      <c r="R43" s="125">
        <f t="shared" si="5"/>
        <v>46679.6</v>
      </c>
      <c r="S43" s="35">
        <f t="shared" si="6"/>
        <v>339.9</v>
      </c>
      <c r="T43" s="127">
        <f>P43+S43</f>
        <v>45659.9</v>
      </c>
      <c r="U43" s="35">
        <v>500</v>
      </c>
      <c r="V43" s="41"/>
      <c r="W43" s="123"/>
      <c r="X43" s="123"/>
      <c r="Z43" s="123"/>
    </row>
    <row r="44" spans="1:26" ht="36.75">
      <c r="A44" s="170" t="s">
        <v>502</v>
      </c>
      <c r="B44" s="36" t="s">
        <v>503</v>
      </c>
      <c r="C44" s="36" t="s">
        <v>504</v>
      </c>
      <c r="D44" s="36" t="s">
        <v>505</v>
      </c>
      <c r="E44" s="37">
        <v>45138</v>
      </c>
      <c r="F44" s="36" t="s">
        <v>452</v>
      </c>
      <c r="G44" s="36" t="s">
        <v>383</v>
      </c>
      <c r="H44" s="31">
        <f t="shared" si="7"/>
        <v>1560</v>
      </c>
      <c r="I44" s="38">
        <v>20.8</v>
      </c>
      <c r="J44" s="39">
        <f t="shared" si="3"/>
        <v>40560</v>
      </c>
      <c r="K44" s="34">
        <v>0.03</v>
      </c>
      <c r="L44" s="34">
        <v>0.03</v>
      </c>
      <c r="M44" s="247"/>
      <c r="N44" s="247"/>
      <c r="O44" s="35">
        <f t="shared" si="16"/>
        <v>1216.8</v>
      </c>
      <c r="P44" s="35">
        <f t="shared" si="17"/>
        <v>41776.800000000003</v>
      </c>
      <c r="Q44" s="125">
        <f t="shared" si="4"/>
        <v>1253.3040000000001</v>
      </c>
      <c r="R44" s="125">
        <f t="shared" si="5"/>
        <v>43030.104000000007</v>
      </c>
      <c r="S44" s="35">
        <f t="shared" si="6"/>
        <v>313.32600000000002</v>
      </c>
      <c r="T44" s="127">
        <f t="shared" si="8"/>
        <v>42090.126000000004</v>
      </c>
      <c r="U44" s="35">
        <v>500</v>
      </c>
      <c r="V44" s="28"/>
      <c r="W44" s="123"/>
      <c r="X44" s="123"/>
      <c r="Z44" s="123"/>
    </row>
    <row r="45" spans="1:26" ht="48.75">
      <c r="A45" s="170" t="s">
        <v>506</v>
      </c>
      <c r="B45" s="36" t="s">
        <v>507</v>
      </c>
      <c r="C45" s="36" t="s">
        <v>508</v>
      </c>
      <c r="D45" s="36" t="s">
        <v>410</v>
      </c>
      <c r="E45" s="37">
        <v>45091</v>
      </c>
      <c r="F45" s="36" t="s">
        <v>374</v>
      </c>
      <c r="G45" s="36" t="s">
        <v>369</v>
      </c>
      <c r="H45" s="31">
        <f t="shared" si="7"/>
        <v>3077.25</v>
      </c>
      <c r="I45" s="38">
        <v>41.03</v>
      </c>
      <c r="J45" s="39">
        <f t="shared" si="3"/>
        <v>80008.5</v>
      </c>
      <c r="K45" s="34">
        <v>0.03</v>
      </c>
      <c r="L45" s="34">
        <v>0.03</v>
      </c>
      <c r="M45" s="247"/>
      <c r="N45" s="247"/>
      <c r="O45" s="35">
        <f t="shared" si="16"/>
        <v>2400.2550000000001</v>
      </c>
      <c r="P45" s="35">
        <f t="shared" si="17"/>
        <v>82408.755000000005</v>
      </c>
      <c r="Q45" s="125">
        <f t="shared" si="4"/>
        <v>2472.2626500000001</v>
      </c>
      <c r="R45" s="125">
        <f t="shared" si="5"/>
        <v>84881.017650000009</v>
      </c>
      <c r="S45" s="35">
        <f t="shared" si="6"/>
        <v>618.06566250000003</v>
      </c>
      <c r="T45" s="127">
        <f t="shared" si="8"/>
        <v>83026.820662500002</v>
      </c>
      <c r="U45" s="35">
        <v>500</v>
      </c>
      <c r="V45" s="28"/>
      <c r="W45" s="123"/>
      <c r="X45" s="123"/>
      <c r="Z45" s="123"/>
    </row>
    <row r="46" spans="1:26" ht="36.75">
      <c r="A46" s="170" t="s">
        <v>509</v>
      </c>
      <c r="B46" s="36" t="s">
        <v>510</v>
      </c>
      <c r="C46" s="36" t="s">
        <v>511</v>
      </c>
      <c r="D46" s="36" t="s">
        <v>439</v>
      </c>
      <c r="E46" s="37">
        <v>37802</v>
      </c>
      <c r="F46" s="36" t="s">
        <v>374</v>
      </c>
      <c r="G46" s="36" t="s">
        <v>369</v>
      </c>
      <c r="H46" s="31">
        <f t="shared" si="7"/>
        <v>4190.25</v>
      </c>
      <c r="I46" s="38">
        <v>55.87</v>
      </c>
      <c r="J46" s="39">
        <f t="shared" si="3"/>
        <v>108946.5</v>
      </c>
      <c r="K46" s="34">
        <v>0.03</v>
      </c>
      <c r="L46" s="34">
        <v>0.03</v>
      </c>
      <c r="M46" s="247"/>
      <c r="N46" s="247"/>
      <c r="O46" s="35">
        <f t="shared" si="16"/>
        <v>3268.395</v>
      </c>
      <c r="P46" s="35">
        <f t="shared" si="17"/>
        <v>112214.895</v>
      </c>
      <c r="Q46" s="125">
        <f t="shared" si="4"/>
        <v>3366.4468499999998</v>
      </c>
      <c r="R46" s="125">
        <f t="shared" si="5"/>
        <v>115581.34185</v>
      </c>
      <c r="S46" s="35">
        <f t="shared" si="6"/>
        <v>841.61171249999995</v>
      </c>
      <c r="T46" s="127">
        <f t="shared" si="8"/>
        <v>113056.50671250001</v>
      </c>
      <c r="U46" s="35">
        <v>500</v>
      </c>
      <c r="V46" s="28"/>
      <c r="W46" s="123"/>
      <c r="X46" s="123"/>
      <c r="Z46" s="123"/>
    </row>
    <row r="47" spans="1:26" ht="60.75">
      <c r="A47" s="173" t="s">
        <v>512</v>
      </c>
      <c r="B47" s="42" t="s">
        <v>513</v>
      </c>
      <c r="C47" s="42" t="s">
        <v>514</v>
      </c>
      <c r="D47" s="42" t="s">
        <v>405</v>
      </c>
      <c r="E47" s="43">
        <v>39713</v>
      </c>
      <c r="F47" s="42" t="s">
        <v>457</v>
      </c>
      <c r="G47" s="42" t="s">
        <v>383</v>
      </c>
      <c r="H47" s="31">
        <f t="shared" si="7"/>
        <v>2339.25</v>
      </c>
      <c r="I47" s="44">
        <v>31.19</v>
      </c>
      <c r="J47" s="45">
        <f t="shared" si="3"/>
        <v>60820.5</v>
      </c>
      <c r="K47" s="46">
        <v>0</v>
      </c>
      <c r="L47" s="46">
        <v>0</v>
      </c>
      <c r="M47" s="250"/>
      <c r="N47" s="250"/>
      <c r="O47" s="35">
        <f t="shared" si="16"/>
        <v>0</v>
      </c>
      <c r="P47" s="35">
        <f t="shared" si="17"/>
        <v>60820.5</v>
      </c>
      <c r="Q47" s="125">
        <f t="shared" si="4"/>
        <v>0</v>
      </c>
      <c r="R47" s="125">
        <f t="shared" si="5"/>
        <v>60820.5</v>
      </c>
      <c r="S47" s="35">
        <f t="shared" si="6"/>
        <v>0</v>
      </c>
      <c r="T47" s="127">
        <f t="shared" si="8"/>
        <v>60820.5</v>
      </c>
      <c r="U47" s="35">
        <v>500</v>
      </c>
      <c r="V47" s="41" t="s">
        <v>471</v>
      </c>
      <c r="W47" s="123"/>
      <c r="X47" s="123"/>
      <c r="Z47" s="123"/>
    </row>
    <row r="48" spans="1:26" ht="48.75">
      <c r="A48" s="170" t="s">
        <v>515</v>
      </c>
      <c r="B48" s="36" t="s">
        <v>516</v>
      </c>
      <c r="C48" s="36" t="s">
        <v>415</v>
      </c>
      <c r="D48" s="36" t="s">
        <v>416</v>
      </c>
      <c r="E48" s="37">
        <v>44515</v>
      </c>
      <c r="F48" s="36" t="s">
        <v>378</v>
      </c>
      <c r="G48" s="36" t="s">
        <v>383</v>
      </c>
      <c r="H48" s="31">
        <f t="shared" si="7"/>
        <v>1707</v>
      </c>
      <c r="I48" s="38">
        <v>22.76</v>
      </c>
      <c r="J48" s="39">
        <f t="shared" si="3"/>
        <v>44382</v>
      </c>
      <c r="K48" s="34">
        <v>0.03</v>
      </c>
      <c r="L48" s="34">
        <v>0.03</v>
      </c>
      <c r="M48" s="35">
        <v>1</v>
      </c>
      <c r="N48" s="35">
        <f t="shared" ref="N48" si="33">(I48+M48)*1950</f>
        <v>46332</v>
      </c>
      <c r="O48" s="35">
        <f t="shared" ref="O48" si="34">(N48*K48)</f>
        <v>1389.96</v>
      </c>
      <c r="P48" s="35">
        <f t="shared" ref="P48" si="35">N48+O48</f>
        <v>47721.96</v>
      </c>
      <c r="Q48" s="125">
        <f t="shared" si="4"/>
        <v>1431.6587999999999</v>
      </c>
      <c r="R48" s="125">
        <f t="shared" si="5"/>
        <v>49153.618799999997</v>
      </c>
      <c r="S48" s="35">
        <f t="shared" si="6"/>
        <v>357.91469999999998</v>
      </c>
      <c r="T48" s="127">
        <f t="shared" si="8"/>
        <v>48079.8747</v>
      </c>
      <c r="U48" s="35">
        <v>500</v>
      </c>
      <c r="V48" s="28"/>
      <c r="W48" s="123"/>
      <c r="X48" s="123"/>
      <c r="Z48" s="123"/>
    </row>
    <row r="49" spans="1:26" ht="36.75">
      <c r="A49" s="170" t="s">
        <v>517</v>
      </c>
      <c r="B49" s="36" t="s">
        <v>518</v>
      </c>
      <c r="C49" s="36" t="s">
        <v>519</v>
      </c>
      <c r="D49" s="36" t="s">
        <v>505</v>
      </c>
      <c r="E49" s="37">
        <v>45467</v>
      </c>
      <c r="F49" s="36" t="s">
        <v>520</v>
      </c>
      <c r="G49" s="36" t="s">
        <v>383</v>
      </c>
      <c r="H49" s="31">
        <f t="shared" si="7"/>
        <v>1560</v>
      </c>
      <c r="I49" s="38">
        <v>20.8</v>
      </c>
      <c r="J49" s="39">
        <f t="shared" si="3"/>
        <v>40560</v>
      </c>
      <c r="K49" s="34">
        <v>0.03</v>
      </c>
      <c r="L49" s="34">
        <v>0.03</v>
      </c>
      <c r="M49" s="247"/>
      <c r="N49" s="247"/>
      <c r="O49" s="35">
        <f t="shared" si="16"/>
        <v>1216.8</v>
      </c>
      <c r="P49" s="35">
        <f t="shared" si="17"/>
        <v>41776.800000000003</v>
      </c>
      <c r="Q49" s="125">
        <f t="shared" si="4"/>
        <v>1253.3040000000001</v>
      </c>
      <c r="R49" s="125">
        <f t="shared" si="5"/>
        <v>43030.104000000007</v>
      </c>
      <c r="S49" s="35">
        <f t="shared" si="6"/>
        <v>313.32600000000002</v>
      </c>
      <c r="T49" s="127">
        <f t="shared" si="8"/>
        <v>42090.126000000004</v>
      </c>
      <c r="U49" s="35">
        <v>500</v>
      </c>
      <c r="V49" s="28"/>
      <c r="W49" s="123"/>
      <c r="X49" s="123"/>
      <c r="Z49" s="123"/>
    </row>
    <row r="50" spans="1:26" ht="48.75">
      <c r="A50" s="170" t="s">
        <v>521</v>
      </c>
      <c r="B50" s="36" t="s">
        <v>522</v>
      </c>
      <c r="C50" s="36" t="s">
        <v>523</v>
      </c>
      <c r="D50" s="36" t="s">
        <v>387</v>
      </c>
      <c r="E50" s="37">
        <v>44900</v>
      </c>
      <c r="F50" s="36" t="s">
        <v>388</v>
      </c>
      <c r="G50" s="36" t="s">
        <v>383</v>
      </c>
      <c r="H50" s="31">
        <f t="shared" si="7"/>
        <v>2115.75</v>
      </c>
      <c r="I50" s="38">
        <v>28.21</v>
      </c>
      <c r="J50" s="39">
        <f t="shared" si="3"/>
        <v>55009.5</v>
      </c>
      <c r="K50" s="34">
        <v>0.03</v>
      </c>
      <c r="L50" s="34">
        <v>0.03</v>
      </c>
      <c r="M50" s="247"/>
      <c r="N50" s="247"/>
      <c r="O50" s="35">
        <f t="shared" si="16"/>
        <v>1650.2849999999999</v>
      </c>
      <c r="P50" s="35">
        <f t="shared" si="17"/>
        <v>56659.785000000003</v>
      </c>
      <c r="Q50" s="125">
        <f t="shared" si="4"/>
        <v>1699.7935500000001</v>
      </c>
      <c r="R50" s="125">
        <f t="shared" si="5"/>
        <v>58359.578550000006</v>
      </c>
      <c r="S50" s="35">
        <f t="shared" si="6"/>
        <v>424.94838750000002</v>
      </c>
      <c r="T50" s="127">
        <f t="shared" si="8"/>
        <v>57084.733387500004</v>
      </c>
      <c r="U50" s="35">
        <v>500</v>
      </c>
      <c r="V50" s="28"/>
      <c r="W50" s="123"/>
      <c r="X50" s="123"/>
      <c r="Z50" s="123"/>
    </row>
    <row r="51" spans="1:26" ht="48.75">
      <c r="A51" s="172" t="s">
        <v>524</v>
      </c>
      <c r="B51" s="152" t="s">
        <v>524</v>
      </c>
      <c r="C51" s="152" t="s">
        <v>525</v>
      </c>
      <c r="D51" s="152" t="s">
        <v>439</v>
      </c>
      <c r="E51" s="153">
        <v>45372</v>
      </c>
      <c r="F51" s="152" t="s">
        <v>526</v>
      </c>
      <c r="G51" s="152" t="s">
        <v>369</v>
      </c>
      <c r="H51" s="154">
        <f t="shared" si="7"/>
        <v>2154</v>
      </c>
      <c r="I51" s="155">
        <v>28.72</v>
      </c>
      <c r="J51" s="156">
        <f t="shared" si="3"/>
        <v>56004</v>
      </c>
      <c r="K51" s="40">
        <v>0.03</v>
      </c>
      <c r="L51" s="40">
        <v>0.03</v>
      </c>
      <c r="M51" s="249"/>
      <c r="N51" s="249"/>
      <c r="O51" s="157">
        <f t="shared" si="16"/>
        <v>1680.12</v>
      </c>
      <c r="P51" s="35">
        <f t="shared" si="17"/>
        <v>57684.12</v>
      </c>
      <c r="Q51" s="125">
        <f t="shared" si="4"/>
        <v>1730.5236</v>
      </c>
      <c r="R51" s="125">
        <f t="shared" si="5"/>
        <v>59414.643600000003</v>
      </c>
      <c r="S51" s="35">
        <f t="shared" si="6"/>
        <v>432.6309</v>
      </c>
      <c r="T51" s="127">
        <f t="shared" si="8"/>
        <v>58116.750899999999</v>
      </c>
      <c r="U51" s="35">
        <v>500</v>
      </c>
      <c r="V51" s="41"/>
      <c r="W51" s="123"/>
      <c r="X51" s="123"/>
      <c r="Z51" s="123"/>
    </row>
    <row r="52" spans="1:26" ht="48.75">
      <c r="A52" s="172" t="s">
        <v>527</v>
      </c>
      <c r="B52" s="152" t="s">
        <v>528</v>
      </c>
      <c r="C52" s="152" t="s">
        <v>529</v>
      </c>
      <c r="D52" s="152" t="s">
        <v>530</v>
      </c>
      <c r="E52" s="153">
        <v>45747</v>
      </c>
      <c r="F52" s="152">
        <v>1995</v>
      </c>
      <c r="G52" s="152" t="s">
        <v>369</v>
      </c>
      <c r="H52" s="154">
        <v>3153.85</v>
      </c>
      <c r="I52" s="155">
        <f>J52/1950</f>
        <v>45.393333333333331</v>
      </c>
      <c r="J52" s="156">
        <v>88517</v>
      </c>
      <c r="K52" s="40">
        <v>0.03</v>
      </c>
      <c r="L52" s="40">
        <v>0.03</v>
      </c>
      <c r="M52" s="249"/>
      <c r="N52" s="249"/>
      <c r="O52" s="157">
        <f t="shared" si="16"/>
        <v>2655.5099999999998</v>
      </c>
      <c r="P52" s="35">
        <f t="shared" si="17"/>
        <v>91172.51</v>
      </c>
      <c r="Q52" s="125">
        <f t="shared" si="4"/>
        <v>2735.1752999999999</v>
      </c>
      <c r="R52" s="125">
        <f t="shared" si="5"/>
        <v>93907.685299999997</v>
      </c>
      <c r="S52" s="35">
        <f t="shared" si="6"/>
        <v>683.79382499999997</v>
      </c>
      <c r="T52" s="127">
        <f>P52+S52</f>
        <v>91856.303824999995</v>
      </c>
      <c r="U52" s="35"/>
      <c r="V52" s="41" t="s">
        <v>531</v>
      </c>
      <c r="W52" s="123"/>
      <c r="X52" s="123"/>
      <c r="Z52" s="123"/>
    </row>
    <row r="53" spans="1:26" ht="60.75">
      <c r="A53" s="170" t="s">
        <v>532</v>
      </c>
      <c r="B53" s="36" t="s">
        <v>533</v>
      </c>
      <c r="C53" s="36" t="s">
        <v>401</v>
      </c>
      <c r="D53" s="36" t="s">
        <v>377</v>
      </c>
      <c r="E53" s="37">
        <v>44564</v>
      </c>
      <c r="F53" s="36" t="s">
        <v>402</v>
      </c>
      <c r="G53" s="36" t="s">
        <v>383</v>
      </c>
      <c r="H53" s="31">
        <f t="shared" si="7"/>
        <v>546.4</v>
      </c>
      <c r="I53" s="38">
        <v>27.32</v>
      </c>
      <c r="J53" s="39">
        <f>I53*520</f>
        <v>14206.4</v>
      </c>
      <c r="K53" s="34">
        <v>0.03</v>
      </c>
      <c r="L53" s="34">
        <v>0.03</v>
      </c>
      <c r="M53" s="247"/>
      <c r="N53" s="247"/>
      <c r="O53" s="35">
        <f t="shared" si="16"/>
        <v>426.19199999999995</v>
      </c>
      <c r="P53" s="35">
        <f t="shared" si="17"/>
        <v>14632.591999999999</v>
      </c>
      <c r="Q53" s="125">
        <f t="shared" si="4"/>
        <v>438.97775999999993</v>
      </c>
      <c r="R53" s="125">
        <f t="shared" si="5"/>
        <v>15071.569759999998</v>
      </c>
      <c r="S53" s="35">
        <f t="shared" si="6"/>
        <v>109.74443999999998</v>
      </c>
      <c r="T53" s="127">
        <f t="shared" si="8"/>
        <v>14742.336439999999</v>
      </c>
      <c r="U53" s="35">
        <v>500</v>
      </c>
      <c r="V53" s="128" t="s">
        <v>534</v>
      </c>
      <c r="W53" s="123"/>
      <c r="X53" s="123"/>
      <c r="Z53" s="123"/>
    </row>
    <row r="54" spans="1:26" ht="48.75">
      <c r="A54" s="170" t="s">
        <v>535</v>
      </c>
      <c r="B54" s="36" t="s">
        <v>536</v>
      </c>
      <c r="C54" s="36" t="s">
        <v>442</v>
      </c>
      <c r="D54" s="36" t="s">
        <v>443</v>
      </c>
      <c r="E54" s="37">
        <v>45061</v>
      </c>
      <c r="F54" s="36" t="s">
        <v>399</v>
      </c>
      <c r="G54" s="36" t="s">
        <v>383</v>
      </c>
      <c r="H54" s="31">
        <f t="shared" si="7"/>
        <v>1599</v>
      </c>
      <c r="I54" s="38">
        <v>21.32</v>
      </c>
      <c r="J54" s="39">
        <f t="shared" si="3"/>
        <v>41574</v>
      </c>
      <c r="K54" s="34">
        <v>0.03</v>
      </c>
      <c r="L54" s="34">
        <v>0.03</v>
      </c>
      <c r="M54" s="35">
        <v>1</v>
      </c>
      <c r="N54" s="35">
        <f t="shared" ref="N54" si="36">(I54+M54)*1950</f>
        <v>43524</v>
      </c>
      <c r="O54" s="35">
        <f t="shared" ref="O54" si="37">(N54*K54)</f>
        <v>1305.72</v>
      </c>
      <c r="P54" s="35">
        <f t="shared" ref="P54" si="38">N54+O54</f>
        <v>44829.72</v>
      </c>
      <c r="Q54" s="125">
        <f t="shared" ref="Q54" si="39">P54*L54</f>
        <v>1344.8915999999999</v>
      </c>
      <c r="R54" s="125">
        <f t="shared" ref="R54" si="40">P54+Q54</f>
        <v>46174.611600000004</v>
      </c>
      <c r="S54" s="35">
        <f t="shared" ref="S54" si="41">Q54/4</f>
        <v>336.22289999999998</v>
      </c>
      <c r="T54" s="127">
        <f t="shared" si="8"/>
        <v>45165.942900000002</v>
      </c>
      <c r="U54" s="35">
        <v>500</v>
      </c>
      <c r="V54" s="28"/>
      <c r="W54" s="129">
        <f>I53*1.03</f>
        <v>28.139600000000002</v>
      </c>
      <c r="X54" s="123"/>
      <c r="Z54" s="123"/>
    </row>
    <row r="55" spans="1:26" ht="48.75">
      <c r="A55" s="172" t="s">
        <v>537</v>
      </c>
      <c r="B55" s="152" t="s">
        <v>537</v>
      </c>
      <c r="C55" s="152" t="s">
        <v>386</v>
      </c>
      <c r="D55" s="152" t="s">
        <v>538</v>
      </c>
      <c r="E55" s="153">
        <v>43118</v>
      </c>
      <c r="F55" s="152" t="s">
        <v>388</v>
      </c>
      <c r="G55" s="152" t="s">
        <v>369</v>
      </c>
      <c r="H55" s="154">
        <f t="shared" si="7"/>
        <v>1875</v>
      </c>
      <c r="I55" s="155">
        <v>25</v>
      </c>
      <c r="J55" s="155">
        <f>I55*1950</f>
        <v>48750</v>
      </c>
      <c r="K55" s="40">
        <v>0</v>
      </c>
      <c r="L55" s="40">
        <v>0.03</v>
      </c>
      <c r="M55" s="248"/>
      <c r="N55" s="248"/>
      <c r="O55" s="35">
        <f t="shared" si="16"/>
        <v>0</v>
      </c>
      <c r="P55" s="35">
        <f t="shared" si="17"/>
        <v>48750</v>
      </c>
      <c r="Q55" s="125">
        <f t="shared" si="4"/>
        <v>1462.5</v>
      </c>
      <c r="R55" s="125">
        <f t="shared" si="5"/>
        <v>50212.5</v>
      </c>
      <c r="S55" s="35">
        <f t="shared" si="6"/>
        <v>365.625</v>
      </c>
      <c r="T55" s="127">
        <f t="shared" si="8"/>
        <v>49115.625</v>
      </c>
      <c r="U55" s="35">
        <v>500</v>
      </c>
      <c r="V55" s="28"/>
      <c r="W55" s="123"/>
      <c r="X55" s="123"/>
      <c r="Z55" s="123"/>
    </row>
    <row r="56" spans="1:26" ht="48.75">
      <c r="A56" s="171" t="s">
        <v>393</v>
      </c>
      <c r="B56" s="161" t="s">
        <v>539</v>
      </c>
      <c r="C56" s="161" t="s">
        <v>442</v>
      </c>
      <c r="D56" s="161" t="s">
        <v>443</v>
      </c>
      <c r="E56" s="162">
        <v>38720</v>
      </c>
      <c r="F56" s="161" t="s">
        <v>399</v>
      </c>
      <c r="G56" s="161" t="s">
        <v>383</v>
      </c>
      <c r="H56" s="163">
        <f t="shared" si="7"/>
        <v>1200</v>
      </c>
      <c r="I56" s="270">
        <v>20</v>
      </c>
      <c r="J56" s="167">
        <f>I56*1560</f>
        <v>31200</v>
      </c>
      <c r="K56" s="166">
        <v>0</v>
      </c>
      <c r="L56" s="166">
        <v>0.03</v>
      </c>
      <c r="M56" s="247">
        <v>0.01</v>
      </c>
      <c r="N56" s="35">
        <f t="shared" ref="N56" si="42">(I56+M56)*1950</f>
        <v>39019.5</v>
      </c>
      <c r="O56" s="35">
        <f t="shared" ref="O56" si="43">(N56*K56)</f>
        <v>0</v>
      </c>
      <c r="P56" s="35">
        <f t="shared" ref="P56" si="44">N56+O56</f>
        <v>39019.5</v>
      </c>
      <c r="Q56" s="125">
        <f t="shared" si="4"/>
        <v>1170.585</v>
      </c>
      <c r="R56" s="125">
        <f t="shared" si="5"/>
        <v>40190.084999999999</v>
      </c>
      <c r="S56" s="35">
        <f t="shared" si="6"/>
        <v>292.64625000000001</v>
      </c>
      <c r="T56" s="127">
        <f t="shared" si="8"/>
        <v>39312.146249999998</v>
      </c>
      <c r="U56" s="35">
        <v>1050</v>
      </c>
      <c r="V56" s="128"/>
      <c r="W56" s="123"/>
      <c r="X56" s="123"/>
      <c r="Z56" s="123"/>
    </row>
    <row r="57" spans="1:26" ht="36.75">
      <c r="A57" s="170" t="s">
        <v>540</v>
      </c>
      <c r="B57" s="36" t="s">
        <v>541</v>
      </c>
      <c r="C57" s="36" t="s">
        <v>542</v>
      </c>
      <c r="D57" s="36" t="s">
        <v>430</v>
      </c>
      <c r="E57" s="37">
        <v>45390</v>
      </c>
      <c r="F57" s="36" t="s">
        <v>543</v>
      </c>
      <c r="G57" s="36" t="s">
        <v>369</v>
      </c>
      <c r="H57" s="31">
        <f t="shared" si="7"/>
        <v>2099.25</v>
      </c>
      <c r="I57" s="38">
        <v>27.99</v>
      </c>
      <c r="J57" s="39">
        <f t="shared" si="3"/>
        <v>54580.5</v>
      </c>
      <c r="K57" s="34">
        <v>0.03</v>
      </c>
      <c r="L57" s="34">
        <v>0.03</v>
      </c>
      <c r="M57" s="247"/>
      <c r="N57" s="247"/>
      <c r="O57" s="35">
        <f t="shared" si="16"/>
        <v>1637.415</v>
      </c>
      <c r="P57" s="35">
        <f t="shared" si="17"/>
        <v>56217.915000000001</v>
      </c>
      <c r="Q57" s="125">
        <f t="shared" si="4"/>
        <v>1686.53745</v>
      </c>
      <c r="R57" s="125">
        <f t="shared" si="5"/>
        <v>57904.452450000004</v>
      </c>
      <c r="S57" s="35">
        <f t="shared" si="6"/>
        <v>421.63436250000001</v>
      </c>
      <c r="T57" s="127">
        <f>P57+S57+4095.46</f>
        <v>60735.009362500001</v>
      </c>
      <c r="U57" s="35">
        <v>500</v>
      </c>
      <c r="V57" s="28"/>
      <c r="W57" s="123">
        <v>59095.92</v>
      </c>
      <c r="X57" s="123">
        <f>W57-T57</f>
        <v>-1639.0893625000026</v>
      </c>
      <c r="Z57" s="123"/>
    </row>
    <row r="58" spans="1:26" ht="36.75">
      <c r="A58" s="170" t="s">
        <v>544</v>
      </c>
      <c r="B58" s="36" t="s">
        <v>545</v>
      </c>
      <c r="C58" s="36" t="s">
        <v>546</v>
      </c>
      <c r="D58" s="36" t="s">
        <v>547</v>
      </c>
      <c r="E58" s="37">
        <v>45398</v>
      </c>
      <c r="F58" s="36" t="s">
        <v>368</v>
      </c>
      <c r="G58" s="36" t="s">
        <v>369</v>
      </c>
      <c r="H58" s="31">
        <f t="shared" si="7"/>
        <v>2178.75</v>
      </c>
      <c r="I58" s="38">
        <v>29.05</v>
      </c>
      <c r="J58" s="39">
        <f t="shared" si="3"/>
        <v>56647.5</v>
      </c>
      <c r="K58" s="34">
        <v>0.03</v>
      </c>
      <c r="L58" s="34">
        <v>0.03</v>
      </c>
      <c r="M58" s="247"/>
      <c r="N58" s="247"/>
      <c r="O58" s="35">
        <f t="shared" si="16"/>
        <v>1699.425</v>
      </c>
      <c r="P58" s="35">
        <f t="shared" si="17"/>
        <v>58346.925000000003</v>
      </c>
      <c r="Q58" s="125">
        <f t="shared" si="4"/>
        <v>1750.4077500000001</v>
      </c>
      <c r="R58" s="125">
        <f t="shared" si="5"/>
        <v>60097.332750000001</v>
      </c>
      <c r="S58" s="35">
        <f t="shared" si="6"/>
        <v>437.60193750000002</v>
      </c>
      <c r="T58" s="127">
        <f t="shared" si="8"/>
        <v>58784.526937500006</v>
      </c>
      <c r="U58" s="35">
        <v>500</v>
      </c>
      <c r="V58" s="28"/>
      <c r="W58" s="129"/>
      <c r="X58" s="123"/>
      <c r="Z58" s="123"/>
    </row>
    <row r="59" spans="1:26" ht="36.75">
      <c r="A59" s="170" t="s">
        <v>548</v>
      </c>
      <c r="B59" s="36" t="s">
        <v>549</v>
      </c>
      <c r="C59" s="36" t="s">
        <v>550</v>
      </c>
      <c r="D59" s="36" t="s">
        <v>398</v>
      </c>
      <c r="E59" s="37">
        <v>43180</v>
      </c>
      <c r="F59" s="36" t="s">
        <v>551</v>
      </c>
      <c r="G59" s="36" t="s">
        <v>369</v>
      </c>
      <c r="H59" s="31">
        <f t="shared" si="7"/>
        <v>2246.25</v>
      </c>
      <c r="I59" s="38">
        <v>29.95</v>
      </c>
      <c r="J59" s="39">
        <f t="shared" si="3"/>
        <v>58402.5</v>
      </c>
      <c r="K59" s="34">
        <v>0.03</v>
      </c>
      <c r="L59" s="34">
        <v>0.03</v>
      </c>
      <c r="M59" s="247"/>
      <c r="N59" s="247"/>
      <c r="O59" s="35">
        <f t="shared" si="16"/>
        <v>1752.075</v>
      </c>
      <c r="P59" s="35">
        <f t="shared" si="17"/>
        <v>60154.574999999997</v>
      </c>
      <c r="Q59" s="125">
        <f t="shared" si="4"/>
        <v>1804.6372499999998</v>
      </c>
      <c r="R59" s="125">
        <f t="shared" si="5"/>
        <v>61959.212249999997</v>
      </c>
      <c r="S59" s="35">
        <f t="shared" si="6"/>
        <v>451.15931249999994</v>
      </c>
      <c r="T59" s="127">
        <f>P59+S59+251.47</f>
        <v>60857.204312499998</v>
      </c>
      <c r="U59" s="35">
        <v>500</v>
      </c>
      <c r="V59" s="28"/>
      <c r="W59" s="123">
        <v>59095.92</v>
      </c>
      <c r="X59" s="123">
        <f>W59-T59</f>
        <v>-1761.2843124999999</v>
      </c>
      <c r="Z59" s="123"/>
    </row>
    <row r="60" spans="1:26" ht="48.75">
      <c r="A60" s="170" t="s">
        <v>552</v>
      </c>
      <c r="B60" s="36" t="s">
        <v>553</v>
      </c>
      <c r="C60" s="36" t="s">
        <v>442</v>
      </c>
      <c r="D60" s="36" t="s">
        <v>443</v>
      </c>
      <c r="E60" s="37">
        <v>42079</v>
      </c>
      <c r="F60" s="36" t="s">
        <v>399</v>
      </c>
      <c r="G60" s="36" t="s">
        <v>383</v>
      </c>
      <c r="H60" s="31">
        <f t="shared" si="7"/>
        <v>1728</v>
      </c>
      <c r="I60" s="38">
        <v>23.04</v>
      </c>
      <c r="J60" s="39">
        <f t="shared" si="3"/>
        <v>44928</v>
      </c>
      <c r="K60" s="34">
        <v>0.03</v>
      </c>
      <c r="L60" s="34">
        <v>0.03</v>
      </c>
      <c r="M60" s="35">
        <v>1</v>
      </c>
      <c r="N60" s="35">
        <f t="shared" ref="N60" si="45">(I60+M60)*1950</f>
        <v>46878</v>
      </c>
      <c r="O60" s="35">
        <f t="shared" ref="O60" si="46">(N60*K60)</f>
        <v>1406.34</v>
      </c>
      <c r="P60" s="35">
        <f t="shared" ref="P60" si="47">N60+O60</f>
        <v>48284.34</v>
      </c>
      <c r="Q60" s="125">
        <f t="shared" si="4"/>
        <v>1448.5301999999999</v>
      </c>
      <c r="R60" s="125">
        <f t="shared" si="5"/>
        <v>49732.870199999998</v>
      </c>
      <c r="S60" s="35">
        <f t="shared" si="6"/>
        <v>362.13254999999998</v>
      </c>
      <c r="T60" s="127">
        <f t="shared" si="8"/>
        <v>48646.472549999999</v>
      </c>
      <c r="U60" s="35">
        <v>500</v>
      </c>
      <c r="V60" s="28"/>
      <c r="W60" s="123"/>
      <c r="X60" s="123"/>
      <c r="Z60" s="123"/>
    </row>
    <row r="61" spans="1:26" ht="48.75">
      <c r="A61" s="170" t="s">
        <v>554</v>
      </c>
      <c r="B61" s="36" t="s">
        <v>555</v>
      </c>
      <c r="C61" s="36" t="s">
        <v>442</v>
      </c>
      <c r="D61" s="36" t="s">
        <v>443</v>
      </c>
      <c r="E61" s="37">
        <v>45362</v>
      </c>
      <c r="F61" s="36" t="s">
        <v>399</v>
      </c>
      <c r="G61" s="36" t="s">
        <v>383</v>
      </c>
      <c r="H61" s="31">
        <f t="shared" si="7"/>
        <v>1557</v>
      </c>
      <c r="I61" s="38">
        <v>20.76</v>
      </c>
      <c r="J61" s="39">
        <f t="shared" si="3"/>
        <v>40482</v>
      </c>
      <c r="K61" s="34">
        <v>0.03</v>
      </c>
      <c r="L61" s="34">
        <v>0.03</v>
      </c>
      <c r="M61" s="35">
        <v>1</v>
      </c>
      <c r="N61" s="35">
        <f t="shared" ref="N61" si="48">(I61+M61)*1950</f>
        <v>42432</v>
      </c>
      <c r="O61" s="35">
        <f t="shared" ref="O61" si="49">(N61*K61)</f>
        <v>1272.96</v>
      </c>
      <c r="P61" s="35">
        <f t="shared" ref="P61" si="50">N61+O61</f>
        <v>43704.959999999999</v>
      </c>
      <c r="Q61" s="125">
        <f t="shared" ref="Q61" si="51">P61*L61</f>
        <v>1311.1487999999999</v>
      </c>
      <c r="R61" s="125">
        <f t="shared" ref="R61" si="52">P61+Q61</f>
        <v>45016.108800000002</v>
      </c>
      <c r="S61" s="35">
        <f t="shared" ref="S61" si="53">Q61/4</f>
        <v>327.78719999999998</v>
      </c>
      <c r="T61" s="127">
        <f t="shared" si="8"/>
        <v>44032.747199999998</v>
      </c>
      <c r="U61" s="35">
        <v>500</v>
      </c>
      <c r="V61" s="28"/>
      <c r="W61" s="123"/>
      <c r="X61" s="123"/>
      <c r="Z61" s="123"/>
    </row>
    <row r="62" spans="1:26" ht="48.75">
      <c r="A62" s="170" t="s">
        <v>556</v>
      </c>
      <c r="B62" s="36" t="s">
        <v>557</v>
      </c>
      <c r="C62" s="36" t="s">
        <v>404</v>
      </c>
      <c r="D62" s="36" t="s">
        <v>405</v>
      </c>
      <c r="E62" s="37">
        <v>45138</v>
      </c>
      <c r="F62" s="36" t="s">
        <v>406</v>
      </c>
      <c r="G62" s="36" t="s">
        <v>383</v>
      </c>
      <c r="H62" s="31">
        <f t="shared" si="7"/>
        <v>1560</v>
      </c>
      <c r="I62" s="38">
        <v>20.8</v>
      </c>
      <c r="J62" s="39">
        <f t="shared" si="3"/>
        <v>40560</v>
      </c>
      <c r="K62" s="34">
        <v>0.03</v>
      </c>
      <c r="L62" s="34">
        <v>0.03</v>
      </c>
      <c r="M62" s="247"/>
      <c r="N62" s="247"/>
      <c r="O62" s="35">
        <f t="shared" si="16"/>
        <v>1216.8</v>
      </c>
      <c r="P62" s="35">
        <f t="shared" si="17"/>
        <v>41776.800000000003</v>
      </c>
      <c r="Q62" s="125">
        <f t="shared" si="4"/>
        <v>1253.3040000000001</v>
      </c>
      <c r="R62" s="125">
        <f t="shared" si="5"/>
        <v>43030.104000000007</v>
      </c>
      <c r="S62" s="35">
        <f t="shared" si="6"/>
        <v>313.32600000000002</v>
      </c>
      <c r="T62" s="127">
        <f t="shared" si="8"/>
        <v>42090.126000000004</v>
      </c>
      <c r="U62" s="35">
        <v>500</v>
      </c>
      <c r="V62" s="28"/>
      <c r="W62" s="123"/>
      <c r="X62" s="123"/>
      <c r="Z62" s="123"/>
    </row>
    <row r="63" spans="1:26" ht="48.75">
      <c r="A63" s="170" t="s">
        <v>558</v>
      </c>
      <c r="B63" s="36" t="s">
        <v>559</v>
      </c>
      <c r="C63" s="36" t="s">
        <v>404</v>
      </c>
      <c r="D63" s="36" t="s">
        <v>405</v>
      </c>
      <c r="E63" s="37">
        <v>44922</v>
      </c>
      <c r="F63" s="36" t="s">
        <v>406</v>
      </c>
      <c r="G63" s="36" t="s">
        <v>383</v>
      </c>
      <c r="H63" s="31">
        <f t="shared" si="7"/>
        <v>1604.25</v>
      </c>
      <c r="I63" s="38">
        <v>21.39</v>
      </c>
      <c r="J63" s="39">
        <f t="shared" si="3"/>
        <v>41710.5</v>
      </c>
      <c r="K63" s="34">
        <v>0.03</v>
      </c>
      <c r="L63" s="34">
        <v>0.03</v>
      </c>
      <c r="M63" s="247"/>
      <c r="N63" s="247"/>
      <c r="O63" s="35">
        <f t="shared" si="16"/>
        <v>1251.3150000000001</v>
      </c>
      <c r="P63" s="35">
        <f t="shared" si="17"/>
        <v>42961.815000000002</v>
      </c>
      <c r="Q63" s="125">
        <f t="shared" si="4"/>
        <v>1288.85445</v>
      </c>
      <c r="R63" s="125">
        <f t="shared" si="5"/>
        <v>44250.669450000001</v>
      </c>
      <c r="S63" s="35">
        <f t="shared" si="6"/>
        <v>322.21361250000001</v>
      </c>
      <c r="T63" s="127">
        <f t="shared" si="8"/>
        <v>43284.028612500006</v>
      </c>
      <c r="U63" s="35">
        <v>500</v>
      </c>
      <c r="V63" s="28"/>
      <c r="W63" s="123"/>
      <c r="X63" s="123"/>
      <c r="Z63" s="123"/>
    </row>
    <row r="64" spans="1:26" ht="36.75">
      <c r="A64" s="170" t="s">
        <v>560</v>
      </c>
      <c r="B64" s="36" t="s">
        <v>560</v>
      </c>
      <c r="C64" s="36" t="s">
        <v>561</v>
      </c>
      <c r="D64" s="36" t="s">
        <v>562</v>
      </c>
      <c r="E64" s="37"/>
      <c r="F64" s="36" t="s">
        <v>374</v>
      </c>
      <c r="G64" s="36" t="s">
        <v>383</v>
      </c>
      <c r="H64" s="31">
        <f t="shared" si="7"/>
        <v>1050</v>
      </c>
      <c r="I64" s="38">
        <v>21</v>
      </c>
      <c r="J64" s="39">
        <f>I64*1300</f>
        <v>27300</v>
      </c>
      <c r="K64" s="34">
        <v>0.03</v>
      </c>
      <c r="L64" s="34">
        <v>0.03</v>
      </c>
      <c r="M64" s="247"/>
      <c r="N64" s="247"/>
      <c r="O64" s="35">
        <f t="shared" si="16"/>
        <v>819</v>
      </c>
      <c r="P64" s="35">
        <f t="shared" si="17"/>
        <v>28119</v>
      </c>
      <c r="Q64" s="125">
        <f t="shared" si="4"/>
        <v>843.56999999999994</v>
      </c>
      <c r="R64" s="125">
        <f t="shared" si="5"/>
        <v>28962.57</v>
      </c>
      <c r="S64" s="35">
        <f t="shared" si="6"/>
        <v>210.89249999999998</v>
      </c>
      <c r="T64" s="127">
        <f t="shared" si="8"/>
        <v>28329.892500000002</v>
      </c>
      <c r="U64" s="35">
        <v>500</v>
      </c>
      <c r="V64" s="28"/>
      <c r="W64" s="123"/>
      <c r="X64" s="123"/>
      <c r="Z64" s="123"/>
    </row>
    <row r="65" spans="1:26" ht="36.75">
      <c r="A65" s="170" t="s">
        <v>563</v>
      </c>
      <c r="B65" s="36" t="s">
        <v>564</v>
      </c>
      <c r="C65" s="36" t="s">
        <v>565</v>
      </c>
      <c r="D65" s="36" t="s">
        <v>367</v>
      </c>
      <c r="E65" s="37">
        <v>44263</v>
      </c>
      <c r="F65" s="36" t="s">
        <v>374</v>
      </c>
      <c r="G65" s="36" t="s">
        <v>369</v>
      </c>
      <c r="H65" s="31">
        <f t="shared" si="7"/>
        <v>2937.75</v>
      </c>
      <c r="I65" s="38">
        <v>39.17</v>
      </c>
      <c r="J65" s="39">
        <f t="shared" si="3"/>
        <v>76381.5</v>
      </c>
      <c r="K65" s="34">
        <v>0.03</v>
      </c>
      <c r="L65" s="34">
        <v>0.03</v>
      </c>
      <c r="M65" s="247"/>
      <c r="N65" s="247"/>
      <c r="O65" s="35">
        <f t="shared" si="16"/>
        <v>2291.4449999999997</v>
      </c>
      <c r="P65" s="35">
        <f t="shared" si="17"/>
        <v>78672.945000000007</v>
      </c>
      <c r="Q65" s="125">
        <f t="shared" si="4"/>
        <v>2360.1883499999999</v>
      </c>
      <c r="R65" s="125">
        <f t="shared" si="5"/>
        <v>81033.133350000004</v>
      </c>
      <c r="S65" s="35">
        <f t="shared" si="6"/>
        <v>590.04708749999998</v>
      </c>
      <c r="T65" s="127">
        <f t="shared" si="8"/>
        <v>79262.99208750001</v>
      </c>
      <c r="U65" s="35">
        <v>600</v>
      </c>
      <c r="V65" s="28"/>
      <c r="W65" s="123"/>
      <c r="X65" s="123"/>
      <c r="Z65" s="123"/>
    </row>
    <row r="66" spans="1:26" ht="48.75">
      <c r="A66" s="170" t="s">
        <v>566</v>
      </c>
      <c r="B66" s="36" t="s">
        <v>567</v>
      </c>
      <c r="C66" s="36" t="s">
        <v>568</v>
      </c>
      <c r="D66" s="36" t="s">
        <v>426</v>
      </c>
      <c r="E66" s="37">
        <v>42611</v>
      </c>
      <c r="F66" s="36" t="s">
        <v>378</v>
      </c>
      <c r="G66" s="36" t="s">
        <v>369</v>
      </c>
      <c r="H66" s="31">
        <f t="shared" si="7"/>
        <v>1942.5</v>
      </c>
      <c r="I66" s="38">
        <v>25.9</v>
      </c>
      <c r="J66" s="39">
        <f t="shared" ref="J66:J70" si="54">I66*1950</f>
        <v>50505</v>
      </c>
      <c r="K66" s="34">
        <v>0.03</v>
      </c>
      <c r="L66" s="34">
        <v>0.03</v>
      </c>
      <c r="M66" s="247"/>
      <c r="N66" s="247"/>
      <c r="O66" s="35">
        <f t="shared" ref="O66:O70" si="55">J66*K66</f>
        <v>1515.1499999999999</v>
      </c>
      <c r="P66" s="35">
        <f t="shared" ref="P66:P70" si="56">J66+O66</f>
        <v>52020.15</v>
      </c>
      <c r="Q66" s="125">
        <f t="shared" ref="Q66:Q70" si="57">P66*L66</f>
        <v>1560.6044999999999</v>
      </c>
      <c r="R66" s="125">
        <f t="shared" ref="R66:R70" si="58">P66+Q66</f>
        <v>53580.754500000003</v>
      </c>
      <c r="S66" s="35">
        <f t="shared" ref="S66:S70" si="59">Q66/4</f>
        <v>390.15112499999998</v>
      </c>
      <c r="T66" s="127">
        <f t="shared" ref="T66:T68" si="60">P66+S66</f>
        <v>52410.301124999998</v>
      </c>
      <c r="U66" s="35">
        <v>500</v>
      </c>
      <c r="V66" s="28"/>
      <c r="W66" s="123"/>
      <c r="X66" s="123"/>
      <c r="Z66" s="123"/>
    </row>
    <row r="67" spans="1:26" ht="36.75">
      <c r="A67" s="172" t="s">
        <v>569</v>
      </c>
      <c r="B67" s="152" t="s">
        <v>569</v>
      </c>
      <c r="C67" s="152" t="s">
        <v>415</v>
      </c>
      <c r="D67" s="152" t="s">
        <v>416</v>
      </c>
      <c r="E67" s="153">
        <v>44886</v>
      </c>
      <c r="F67" s="152" t="s">
        <v>551</v>
      </c>
      <c r="G67" s="152" t="s">
        <v>383</v>
      </c>
      <c r="H67" s="154">
        <f t="shared" si="7"/>
        <v>1500</v>
      </c>
      <c r="I67" s="155">
        <v>20</v>
      </c>
      <c r="J67" s="156">
        <f t="shared" si="54"/>
        <v>39000</v>
      </c>
      <c r="K67" s="40">
        <v>0.03</v>
      </c>
      <c r="L67" s="40">
        <v>0.03</v>
      </c>
      <c r="M67" s="157">
        <v>1</v>
      </c>
      <c r="N67" s="35">
        <f t="shared" ref="N67" si="61">(I67+M67)*1950</f>
        <v>40950</v>
      </c>
      <c r="O67" s="35">
        <f t="shared" ref="O67" si="62">(N67*K67)</f>
        <v>1228.5</v>
      </c>
      <c r="P67" s="35">
        <f t="shared" ref="P67" si="63">N67+O67</f>
        <v>42178.5</v>
      </c>
      <c r="Q67" s="125">
        <f t="shared" si="57"/>
        <v>1265.355</v>
      </c>
      <c r="R67" s="125">
        <f t="shared" si="58"/>
        <v>43443.855000000003</v>
      </c>
      <c r="S67" s="35">
        <f t="shared" si="59"/>
        <v>316.33875</v>
      </c>
      <c r="T67" s="127">
        <f t="shared" si="60"/>
        <v>42494.838750000003</v>
      </c>
      <c r="U67" s="35">
        <v>500</v>
      </c>
      <c r="V67" s="28"/>
      <c r="W67" s="123"/>
      <c r="X67" s="123"/>
      <c r="Z67" s="123"/>
    </row>
    <row r="68" spans="1:26" ht="36.75">
      <c r="A68" s="170" t="s">
        <v>570</v>
      </c>
      <c r="B68" s="36" t="s">
        <v>571</v>
      </c>
      <c r="C68" s="36" t="s">
        <v>572</v>
      </c>
      <c r="D68" s="36" t="s">
        <v>84</v>
      </c>
      <c r="E68" s="37">
        <v>42935</v>
      </c>
      <c r="F68" s="36" t="s">
        <v>374</v>
      </c>
      <c r="G68" s="36" t="s">
        <v>369</v>
      </c>
      <c r="H68" s="31">
        <f t="shared" ref="H68:H70" si="64">J68/26</f>
        <v>5988</v>
      </c>
      <c r="I68" s="38">
        <v>79.84</v>
      </c>
      <c r="J68" s="39">
        <f t="shared" si="54"/>
        <v>155688</v>
      </c>
      <c r="K68" s="34">
        <v>0.03</v>
      </c>
      <c r="L68" s="34">
        <v>0.03</v>
      </c>
      <c r="M68" s="247"/>
      <c r="N68" s="247"/>
      <c r="O68" s="35">
        <f t="shared" si="55"/>
        <v>4670.6399999999994</v>
      </c>
      <c r="P68" s="35">
        <f t="shared" si="56"/>
        <v>160358.64000000001</v>
      </c>
      <c r="Q68" s="125">
        <f t="shared" si="57"/>
        <v>4810.7592000000004</v>
      </c>
      <c r="R68" s="125">
        <f t="shared" si="58"/>
        <v>165169.39920000001</v>
      </c>
      <c r="S68" s="35">
        <f t="shared" si="59"/>
        <v>1202.6898000000001</v>
      </c>
      <c r="T68" s="127">
        <f t="shared" si="60"/>
        <v>161561.32980000001</v>
      </c>
      <c r="U68" s="35">
        <v>500</v>
      </c>
      <c r="V68" s="28"/>
      <c r="W68" s="123"/>
      <c r="X68" s="123"/>
      <c r="Z68" s="123"/>
    </row>
    <row r="69" spans="1:26" ht="36.75">
      <c r="A69" s="170" t="s">
        <v>573</v>
      </c>
      <c r="B69" s="36" t="s">
        <v>574</v>
      </c>
      <c r="C69" s="36" t="s">
        <v>415</v>
      </c>
      <c r="D69" s="36" t="s">
        <v>416</v>
      </c>
      <c r="E69" s="37"/>
      <c r="F69" s="36" t="s">
        <v>575</v>
      </c>
      <c r="G69" s="36" t="s">
        <v>383</v>
      </c>
      <c r="H69" s="31">
        <f t="shared" si="64"/>
        <v>1575</v>
      </c>
      <c r="I69" s="38">
        <v>21</v>
      </c>
      <c r="J69" s="39">
        <f t="shared" si="54"/>
        <v>40950</v>
      </c>
      <c r="K69" s="34">
        <v>0</v>
      </c>
      <c r="L69" s="34">
        <v>0.03</v>
      </c>
      <c r="M69" s="247"/>
      <c r="N69" s="247"/>
      <c r="O69" s="35">
        <f t="shared" ref="O69" si="65">J69*K69</f>
        <v>0</v>
      </c>
      <c r="P69" s="35">
        <f t="shared" ref="P69" si="66">J69+O69</f>
        <v>40950</v>
      </c>
      <c r="Q69" s="125">
        <f t="shared" ref="Q69" si="67">P69*L69</f>
        <v>1228.5</v>
      </c>
      <c r="R69" s="125">
        <f t="shared" ref="R69" si="68">P69+Q69</f>
        <v>42178.5</v>
      </c>
      <c r="S69" s="35">
        <f t="shared" ref="S69" si="69">Q69/4</f>
        <v>307.125</v>
      </c>
      <c r="T69" s="127">
        <f t="shared" ref="T69" si="70">P69+S69</f>
        <v>41257.125</v>
      </c>
      <c r="U69" s="35"/>
      <c r="V69" s="28"/>
      <c r="W69" s="123"/>
      <c r="X69" s="123"/>
      <c r="Z69" s="123"/>
    </row>
    <row r="70" spans="1:26" ht="29.25" customHeight="1">
      <c r="A70" s="171" t="s">
        <v>393</v>
      </c>
      <c r="B70" s="161" t="s">
        <v>393</v>
      </c>
      <c r="C70" s="161" t="s">
        <v>576</v>
      </c>
      <c r="D70" s="161" t="s">
        <v>530</v>
      </c>
      <c r="E70" s="162"/>
      <c r="F70" s="161" t="s">
        <v>577</v>
      </c>
      <c r="G70" s="161" t="s">
        <v>369</v>
      </c>
      <c r="H70" s="168">
        <f t="shared" si="64"/>
        <v>4422.75</v>
      </c>
      <c r="I70" s="164">
        <v>58.97</v>
      </c>
      <c r="J70" s="167">
        <f t="shared" si="54"/>
        <v>114991.5</v>
      </c>
      <c r="K70" s="166">
        <v>0</v>
      </c>
      <c r="L70" s="166">
        <v>0.03</v>
      </c>
      <c r="M70" s="248"/>
      <c r="N70" s="248"/>
      <c r="O70" s="35">
        <f t="shared" si="55"/>
        <v>0</v>
      </c>
      <c r="P70" s="35">
        <f t="shared" si="56"/>
        <v>114991.5</v>
      </c>
      <c r="Q70" s="125">
        <f t="shared" si="57"/>
        <v>3449.7449999999999</v>
      </c>
      <c r="R70" s="125">
        <f t="shared" si="58"/>
        <v>118441.245</v>
      </c>
      <c r="S70" s="35">
        <f t="shared" si="59"/>
        <v>862.43624999999997</v>
      </c>
      <c r="T70" s="127">
        <f>P70+S70</f>
        <v>115853.93625</v>
      </c>
      <c r="U70" s="35"/>
      <c r="V70" s="28"/>
      <c r="W70" s="123"/>
      <c r="X70" s="123"/>
      <c r="Z70" s="123"/>
    </row>
    <row r="71" spans="1:26" ht="15">
      <c r="A71" s="47" t="s">
        <v>84</v>
      </c>
      <c r="B71" s="48" t="s">
        <v>84</v>
      </c>
      <c r="C71" s="48" t="s">
        <v>84</v>
      </c>
      <c r="D71" s="48" t="s">
        <v>84</v>
      </c>
      <c r="E71" s="48" t="s">
        <v>84</v>
      </c>
      <c r="F71" s="48" t="s">
        <v>84</v>
      </c>
      <c r="G71" s="48" t="s">
        <v>84</v>
      </c>
      <c r="H71" s="49" t="s">
        <v>84</v>
      </c>
      <c r="I71" s="50">
        <f>AVERAGE(I2:I70)</f>
        <v>29.663381196581195</v>
      </c>
      <c r="J71" s="50">
        <f>SUM(J2:J70)</f>
        <v>3930690.34</v>
      </c>
      <c r="K71" s="51" t="s">
        <v>84</v>
      </c>
      <c r="L71" s="51" t="s">
        <v>84</v>
      </c>
      <c r="M71" s="51"/>
      <c r="N71" s="51"/>
      <c r="O71" s="52">
        <f t="shared" ref="O71:T71" si="71">SUM(O2:O70)</f>
        <v>92607.760199999975</v>
      </c>
      <c r="P71" s="52">
        <f t="shared" si="71"/>
        <v>4056467.6001999998</v>
      </c>
      <c r="Q71" s="126">
        <f t="shared" si="71"/>
        <v>113254.81800600002</v>
      </c>
      <c r="R71" s="126">
        <f t="shared" si="71"/>
        <v>4169722.4182059988</v>
      </c>
      <c r="S71" s="52">
        <f t="shared" si="71"/>
        <v>28313.704501500004</v>
      </c>
      <c r="T71" s="52">
        <f t="shared" si="71"/>
        <v>4089128.2347015012</v>
      </c>
      <c r="U71" s="52">
        <f t="shared" ref="U71" si="72">SUM(U2:U68)</f>
        <v>34700</v>
      </c>
      <c r="V71" s="28"/>
      <c r="W71" s="123"/>
      <c r="X71" s="123"/>
    </row>
    <row r="72" spans="1:26" ht="15">
      <c r="A72" s="28"/>
      <c r="B72" s="28"/>
      <c r="C72" s="28"/>
      <c r="D72" s="28"/>
      <c r="E72" s="28"/>
      <c r="F72" s="28"/>
      <c r="G72" s="28"/>
      <c r="H72" s="28"/>
      <c r="I72" s="28" t="s">
        <v>578</v>
      </c>
      <c r="J72" s="28" t="s">
        <v>579</v>
      </c>
      <c r="K72" s="28"/>
      <c r="L72" s="28"/>
      <c r="M72" s="28"/>
      <c r="N72" s="28"/>
      <c r="O72" s="28" t="s">
        <v>580</v>
      </c>
      <c r="P72" s="28" t="s">
        <v>581</v>
      </c>
      <c r="Q72" s="28" t="s">
        <v>582</v>
      </c>
      <c r="R72" s="28" t="s">
        <v>581</v>
      </c>
      <c r="S72" s="28" t="s">
        <v>582</v>
      </c>
      <c r="T72" s="28" t="s">
        <v>581</v>
      </c>
      <c r="U72" s="28" t="s">
        <v>583</v>
      </c>
      <c r="V72" s="28"/>
    </row>
    <row r="73" spans="1:26" ht="1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</row>
    <row r="74" spans="1:26" ht="15">
      <c r="A74" s="200" t="s">
        <v>584</v>
      </c>
      <c r="B74" s="201" t="s">
        <v>585</v>
      </c>
      <c r="C74" s="201" t="s">
        <v>586</v>
      </c>
      <c r="D74" s="202">
        <v>2024</v>
      </c>
      <c r="E74" s="202" t="s">
        <v>587</v>
      </c>
      <c r="F74" s="203" t="s">
        <v>588</v>
      </c>
      <c r="G74" s="131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</row>
    <row r="75" spans="1:26" ht="15">
      <c r="A75" s="204">
        <v>196</v>
      </c>
      <c r="B75" s="205" t="s">
        <v>370</v>
      </c>
      <c r="C75" s="206">
        <v>44389</v>
      </c>
      <c r="D75" s="207" t="s">
        <v>587</v>
      </c>
      <c r="E75" s="207">
        <v>6</v>
      </c>
      <c r="F75" s="208">
        <v>5</v>
      </c>
      <c r="G75" s="131"/>
      <c r="H75" s="28"/>
      <c r="I75" s="28" t="s">
        <v>589</v>
      </c>
      <c r="J75" s="35">
        <f>(146.75+180.67+161.46+165.21+175.71)/5*12</f>
        <v>1991.52</v>
      </c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28"/>
    </row>
    <row r="76" spans="1:26" ht="15">
      <c r="A76" s="204">
        <v>108</v>
      </c>
      <c r="B76" s="205" t="s">
        <v>417</v>
      </c>
      <c r="C76" s="206">
        <v>40637</v>
      </c>
      <c r="D76" s="209" t="s">
        <v>587</v>
      </c>
      <c r="E76" s="209">
        <v>16</v>
      </c>
      <c r="F76" s="205">
        <v>15</v>
      </c>
      <c r="G76" s="131"/>
      <c r="H76" s="28"/>
      <c r="I76" s="28" t="s">
        <v>590</v>
      </c>
      <c r="J76" s="28">
        <f>(1328.68+290+1252.68+290+411.32+1290.64+225+83.75+345+828.6+83.75+308.75+1309.62)/5*12</f>
        <v>19314.696000000004</v>
      </c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</row>
    <row r="77" spans="1:26" ht="15">
      <c r="A77" s="204">
        <v>194</v>
      </c>
      <c r="B77" s="205" t="s">
        <v>460</v>
      </c>
      <c r="C77" s="206">
        <v>44361</v>
      </c>
      <c r="D77" s="209" t="s">
        <v>587</v>
      </c>
      <c r="E77" s="209">
        <v>6</v>
      </c>
      <c r="F77" s="205">
        <v>5</v>
      </c>
      <c r="G77" s="131"/>
      <c r="J77" s="123">
        <f>SUM(J75:J76)</f>
        <v>21306.216000000004</v>
      </c>
    </row>
    <row r="78" spans="1:26" ht="15">
      <c r="A78" s="204">
        <v>198</v>
      </c>
      <c r="B78" s="205" t="s">
        <v>515</v>
      </c>
      <c r="C78" s="206">
        <v>44515</v>
      </c>
      <c r="D78" s="209" t="s">
        <v>587</v>
      </c>
      <c r="E78" s="209">
        <v>6</v>
      </c>
      <c r="F78" s="205">
        <v>5</v>
      </c>
      <c r="G78" s="131"/>
    </row>
    <row r="79" spans="1:26" ht="15">
      <c r="A79" s="204">
        <v>83</v>
      </c>
      <c r="B79" s="205" t="s">
        <v>591</v>
      </c>
      <c r="C79" s="206">
        <v>38720</v>
      </c>
      <c r="D79" s="209" t="s">
        <v>587</v>
      </c>
      <c r="E79" s="209">
        <v>21</v>
      </c>
      <c r="F79" s="205">
        <v>20</v>
      </c>
      <c r="G79" s="131"/>
    </row>
    <row r="80" spans="1:26" ht="15">
      <c r="A80" s="204">
        <v>189</v>
      </c>
      <c r="B80" s="205" t="s">
        <v>563</v>
      </c>
      <c r="C80" s="206">
        <v>44263</v>
      </c>
      <c r="D80" s="209" t="s">
        <v>587</v>
      </c>
      <c r="E80" s="209">
        <v>6</v>
      </c>
      <c r="F80" s="205">
        <v>5</v>
      </c>
      <c r="G80" s="131"/>
    </row>
    <row r="81" spans="1:15" ht="15">
      <c r="A81" s="204">
        <v>115</v>
      </c>
      <c r="B81" s="205" t="s">
        <v>566</v>
      </c>
      <c r="C81" s="206">
        <v>42611</v>
      </c>
      <c r="D81" s="209" t="s">
        <v>587</v>
      </c>
      <c r="E81" s="209">
        <v>11</v>
      </c>
      <c r="F81" s="205">
        <v>10</v>
      </c>
      <c r="G81" s="131"/>
    </row>
    <row r="82" spans="1:15" ht="15">
      <c r="A82" s="131"/>
      <c r="B82" s="131"/>
      <c r="C82" s="131"/>
      <c r="D82" s="131"/>
      <c r="E82" s="131"/>
      <c r="F82" s="131"/>
      <c r="G82" s="131"/>
    </row>
    <row r="83" spans="1:15" ht="15">
      <c r="A83" s="131"/>
      <c r="B83" s="131"/>
      <c r="C83" s="131"/>
      <c r="D83" s="131"/>
      <c r="E83" s="131"/>
      <c r="F83" s="131"/>
      <c r="G83" s="131"/>
    </row>
    <row r="84" spans="1:15" ht="15">
      <c r="A84" s="131"/>
      <c r="B84" s="131"/>
      <c r="C84" s="131"/>
      <c r="D84" s="131"/>
      <c r="E84" s="131"/>
      <c r="F84" s="131"/>
      <c r="G84" s="131"/>
    </row>
    <row r="85" spans="1:15" ht="15">
      <c r="A85" s="131"/>
      <c r="B85" s="131"/>
      <c r="C85" s="131"/>
      <c r="D85" s="131"/>
      <c r="E85" s="131"/>
      <c r="F85" s="131"/>
      <c r="G85" s="131"/>
      <c r="J85" t="s">
        <v>592</v>
      </c>
      <c r="L85" t="s">
        <v>593</v>
      </c>
      <c r="M85" t="s">
        <v>594</v>
      </c>
      <c r="O85" t="s">
        <v>595</v>
      </c>
    </row>
    <row r="86" spans="1:15" ht="15">
      <c r="A86" s="131" t="s">
        <v>596</v>
      </c>
      <c r="B86" s="131" t="s">
        <v>597</v>
      </c>
      <c r="C86" s="131" t="s">
        <v>598</v>
      </c>
      <c r="D86" s="131"/>
      <c r="E86" s="131"/>
      <c r="F86" s="131"/>
      <c r="G86" s="131" t="s">
        <v>599</v>
      </c>
      <c r="J86" t="s">
        <v>600</v>
      </c>
      <c r="K86">
        <f>(240.79*26)*70%</f>
        <v>4382.3779999999997</v>
      </c>
      <c r="L86">
        <f>(9.75*26)*70%</f>
        <v>177.45</v>
      </c>
      <c r="M86">
        <f>(178.57*26)*70%</f>
        <v>3249.9739999999997</v>
      </c>
      <c r="O86">
        <f>(378.2*24)*70%</f>
        <v>6353.7599999999993</v>
      </c>
    </row>
    <row r="87" spans="1:15" ht="15">
      <c r="A87" s="210" t="s">
        <v>601</v>
      </c>
      <c r="B87" s="211">
        <v>100</v>
      </c>
      <c r="C87" s="210">
        <v>4</v>
      </c>
      <c r="D87" s="210" t="s">
        <v>84</v>
      </c>
      <c r="E87" s="210" t="s">
        <v>84</v>
      </c>
      <c r="F87" s="210" t="s">
        <v>84</v>
      </c>
      <c r="G87" s="132">
        <v>400</v>
      </c>
      <c r="J87" t="s">
        <v>602</v>
      </c>
      <c r="K87">
        <f>126.54*26</f>
        <v>3290.04</v>
      </c>
      <c r="L87">
        <f>9.48*26</f>
        <v>246.48000000000002</v>
      </c>
      <c r="M87">
        <f>181.87*26</f>
        <v>4728.62</v>
      </c>
      <c r="O87">
        <v>0</v>
      </c>
    </row>
    <row r="88" spans="1:15" ht="15">
      <c r="A88" s="212" t="s">
        <v>603</v>
      </c>
      <c r="B88" s="213">
        <v>250</v>
      </c>
      <c r="C88" s="212">
        <v>1</v>
      </c>
      <c r="D88" s="212" t="s">
        <v>84</v>
      </c>
      <c r="E88" s="212" t="s">
        <v>84</v>
      </c>
      <c r="F88" s="212" t="s">
        <v>84</v>
      </c>
      <c r="G88" s="132">
        <v>250</v>
      </c>
      <c r="J88" t="s">
        <v>604</v>
      </c>
      <c r="K88">
        <f>156.03*26</f>
        <v>4056.78</v>
      </c>
      <c r="L88">
        <f>6.32*26</f>
        <v>164.32</v>
      </c>
      <c r="M88">
        <f>113.75*26</f>
        <v>2957.5</v>
      </c>
      <c r="O88">
        <f>378.2*24</f>
        <v>9076.7999999999993</v>
      </c>
    </row>
    <row r="89" spans="1:15" ht="15">
      <c r="A89" s="214" t="s">
        <v>605</v>
      </c>
      <c r="B89" s="215">
        <v>400</v>
      </c>
      <c r="C89" s="214">
        <v>1</v>
      </c>
      <c r="D89" s="214" t="s">
        <v>84</v>
      </c>
      <c r="E89" s="214" t="s">
        <v>84</v>
      </c>
      <c r="F89" s="214" t="s">
        <v>84</v>
      </c>
      <c r="G89" s="132">
        <v>400</v>
      </c>
      <c r="K89">
        <f>SUM(K86:K88)</f>
        <v>11729.198</v>
      </c>
      <c r="L89">
        <f>SUM(L86:L88)</f>
        <v>588.25</v>
      </c>
      <c r="M89">
        <f>SUM(M86:M88)</f>
        <v>10936.093999999999</v>
      </c>
      <c r="O89">
        <f>SUM(O86:O88)</f>
        <v>15430.559999999998</v>
      </c>
    </row>
    <row r="90" spans="1:15" ht="15">
      <c r="A90" s="216" t="s">
        <v>606</v>
      </c>
      <c r="B90" s="217">
        <v>550</v>
      </c>
      <c r="C90" s="216">
        <v>1</v>
      </c>
      <c r="D90" s="216" t="s">
        <v>84</v>
      </c>
      <c r="E90" s="216" t="s">
        <v>84</v>
      </c>
      <c r="F90" s="216" t="s">
        <v>84</v>
      </c>
      <c r="G90" s="132">
        <v>550</v>
      </c>
    </row>
    <row r="91" spans="1:15" ht="15">
      <c r="A91" s="131" t="s">
        <v>607</v>
      </c>
      <c r="B91" s="132">
        <v>700</v>
      </c>
      <c r="C91" s="131">
        <v>0</v>
      </c>
      <c r="D91" s="131"/>
      <c r="E91" s="131"/>
      <c r="F91" s="131"/>
      <c r="G91" s="131" t="s">
        <v>608</v>
      </c>
    </row>
    <row r="92" spans="1:15" ht="15">
      <c r="A92" s="218" t="s">
        <v>609</v>
      </c>
      <c r="B92" s="219">
        <v>1000</v>
      </c>
      <c r="C92" s="218">
        <v>0</v>
      </c>
      <c r="D92" s="218" t="s">
        <v>84</v>
      </c>
      <c r="E92" s="218" t="s">
        <v>84</v>
      </c>
      <c r="F92" s="218" t="s">
        <v>84</v>
      </c>
      <c r="G92" s="131" t="s">
        <v>608</v>
      </c>
    </row>
    <row r="93" spans="1:15" ht="15">
      <c r="A93" s="131" t="s">
        <v>610</v>
      </c>
      <c r="B93" s="132">
        <v>1500</v>
      </c>
      <c r="C93" s="131">
        <v>0</v>
      </c>
      <c r="D93" s="131"/>
      <c r="E93" s="131"/>
      <c r="F93" s="131"/>
      <c r="G93" s="131" t="s">
        <v>608</v>
      </c>
    </row>
    <row r="94" spans="1:15" ht="15">
      <c r="A94" s="131" t="s">
        <v>611</v>
      </c>
      <c r="B94" s="131"/>
      <c r="C94" s="131"/>
      <c r="D94" s="131"/>
      <c r="E94" s="131"/>
      <c r="F94" s="131"/>
      <c r="G94" s="132">
        <v>1600</v>
      </c>
    </row>
  </sheetData>
  <phoneticPr fontId="2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D7B8A-DB2A-4851-BE4B-5D3DDC4F752D}">
  <dimension ref="A1:CD308"/>
  <sheetViews>
    <sheetView tabSelected="1" topLeftCell="A7" zoomScale="130" zoomScaleNormal="130" workbookViewId="0">
      <pane xSplit="2" ySplit="3" topLeftCell="C10" activePane="bottomRight" state="frozen"/>
      <selection activeCell="A7" sqref="A7"/>
      <selection pane="topRight" activeCell="C7" sqref="C7"/>
      <selection pane="bottomLeft" activeCell="A9" sqref="A9"/>
      <selection pane="bottomRight" activeCell="G16" sqref="G16"/>
    </sheetView>
  </sheetViews>
  <sheetFormatPr defaultColWidth="9.33203125" defaultRowHeight="11.25"/>
  <cols>
    <col min="1" max="1" width="42.83203125" customWidth="1"/>
    <col min="2" max="2" width="19.83203125" style="222" hidden="1" customWidth="1"/>
    <col min="3" max="4" width="17.33203125" style="222" customWidth="1"/>
    <col min="5" max="5" width="17.83203125" bestFit="1" customWidth="1"/>
    <col min="6" max="6" width="15.33203125" customWidth="1"/>
    <col min="7" max="7" width="16.6640625" customWidth="1"/>
    <col min="8" max="8" width="17" customWidth="1"/>
    <col min="9" max="9" width="18.33203125" customWidth="1"/>
    <col min="10" max="10" width="20.5" customWidth="1"/>
    <col min="11" max="11" width="22.6640625" customWidth="1"/>
    <col min="12" max="12" width="18.83203125" customWidth="1"/>
    <col min="13" max="13" width="14.1640625" customWidth="1"/>
    <col min="14" max="14" width="19.5" customWidth="1"/>
    <col min="15" max="15" width="18.83203125" customWidth="1"/>
    <col min="16" max="16" width="13.5" customWidth="1"/>
    <col min="17" max="18" width="14.1640625" customWidth="1"/>
    <col min="19" max="19" width="13.5" customWidth="1"/>
    <col min="20" max="20" width="13.83203125" customWidth="1"/>
    <col min="21" max="21" width="19.5" customWidth="1"/>
    <col min="22" max="23" width="20.1640625" customWidth="1"/>
    <col min="24" max="24" width="14.83203125" customWidth="1"/>
    <col min="25" max="25" width="17.1640625" customWidth="1"/>
    <col min="26" max="26" width="17.33203125" customWidth="1"/>
    <col min="27" max="27" width="19.83203125" customWidth="1"/>
    <col min="28" max="28" width="17.6640625" customWidth="1"/>
    <col min="29" max="30" width="14" customWidth="1"/>
    <col min="31" max="31" width="14.83203125" customWidth="1"/>
    <col min="32" max="32" width="14.5" customWidth="1"/>
    <col min="33" max="33" width="13.5" customWidth="1"/>
    <col min="34" max="34" width="15.83203125" customWidth="1"/>
    <col min="35" max="35" width="13.33203125" customWidth="1"/>
    <col min="36" max="36" width="20" customWidth="1"/>
    <col min="37" max="37" width="21.5" customWidth="1"/>
    <col min="38" max="38" width="17.33203125" customWidth="1"/>
    <col min="39" max="39" width="16.6640625" customWidth="1"/>
    <col min="40" max="40" width="14.5" customWidth="1"/>
    <col min="41" max="41" width="14.6640625" customWidth="1"/>
    <col min="42" max="42" width="12.1640625" customWidth="1"/>
    <col min="43" max="43" width="14.6640625" customWidth="1"/>
    <col min="44" max="44" width="13.1640625" customWidth="1"/>
    <col min="45" max="45" width="12.6640625" customWidth="1"/>
    <col min="46" max="46" width="13.6640625" customWidth="1"/>
    <col min="47" max="47" width="15" customWidth="1"/>
    <col min="48" max="48" width="15.5" customWidth="1"/>
    <col min="49" max="49" width="5.33203125" customWidth="1"/>
    <col min="50" max="50" width="15.33203125" customWidth="1"/>
    <col min="51" max="51" width="14.5" hidden="1" customWidth="1"/>
    <col min="52" max="52" width="12.83203125" hidden="1" customWidth="1"/>
    <col min="53" max="53" width="13.6640625" hidden="1" customWidth="1"/>
    <col min="54" max="54" width="14" hidden="1" customWidth="1"/>
    <col min="55" max="55" width="16" hidden="1" customWidth="1"/>
    <col min="56" max="56" width="13.5" hidden="1" customWidth="1"/>
    <col min="57" max="57" width="16" hidden="1" customWidth="1"/>
    <col min="58" max="58" width="19" hidden="1" customWidth="1"/>
    <col min="59" max="59" width="18.1640625" hidden="1" customWidth="1"/>
    <col min="60" max="61" width="13.6640625" hidden="1" customWidth="1"/>
    <col min="62" max="62" width="13" hidden="1" customWidth="1"/>
    <col min="63" max="63" width="15" hidden="1" customWidth="1"/>
    <col min="64" max="64" width="13.83203125" hidden="1" customWidth="1"/>
    <col min="65" max="65" width="16.5" hidden="1" customWidth="1"/>
    <col min="66" max="66" width="16" hidden="1" customWidth="1"/>
    <col min="67" max="67" width="15" hidden="1" customWidth="1"/>
    <col min="68" max="68" width="23.5" bestFit="1" customWidth="1"/>
    <col min="69" max="69" width="16.5" customWidth="1"/>
    <col min="70" max="70" width="20" bestFit="1" customWidth="1"/>
    <col min="71" max="71" width="22.1640625" hidden="1" customWidth="1"/>
    <col min="72" max="72" width="20.33203125" hidden="1" customWidth="1"/>
    <col min="73" max="73" width="19.5" hidden="1" customWidth="1"/>
    <col min="74" max="75" width="14.5" bestFit="1" customWidth="1"/>
    <col min="76" max="76" width="13.83203125" bestFit="1" customWidth="1"/>
    <col min="77" max="77" width="16" bestFit="1" customWidth="1"/>
    <col min="78" max="78" width="24.5" bestFit="1" customWidth="1"/>
    <col min="79" max="79" width="24.33203125" bestFit="1" customWidth="1"/>
    <col min="80" max="80" width="24.5" bestFit="1" customWidth="1"/>
    <col min="81" max="81" width="24.1640625" bestFit="1" customWidth="1"/>
    <col min="82" max="82" width="15.5" bestFit="1" customWidth="1"/>
  </cols>
  <sheetData>
    <row r="1" spans="1:82" ht="15.75" hidden="1">
      <c r="A1" s="391" t="s">
        <v>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</row>
    <row r="2" spans="1:82" ht="15.75" hidden="1">
      <c r="A2" s="391" t="s">
        <v>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</row>
    <row r="3" spans="1:82" ht="18" hidden="1">
      <c r="A3" s="390" t="s">
        <v>2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J3" s="390"/>
      <c r="AK3" s="390"/>
      <c r="AL3" s="390"/>
      <c r="AM3" s="390"/>
      <c r="AN3" s="390"/>
      <c r="AO3" s="390"/>
      <c r="AP3" s="390"/>
      <c r="AQ3" s="390"/>
      <c r="AR3" s="390"/>
      <c r="AS3" s="390"/>
      <c r="AT3" s="390"/>
      <c r="AU3" s="390"/>
      <c r="AV3" s="390"/>
      <c r="AW3" s="390"/>
      <c r="AX3" s="390"/>
      <c r="AY3" s="390"/>
      <c r="AZ3" s="390"/>
      <c r="BA3" s="390"/>
      <c r="BB3" s="390"/>
      <c r="BC3" s="390"/>
      <c r="BD3" s="390"/>
      <c r="BE3" s="390"/>
      <c r="BF3" s="390"/>
      <c r="BG3" s="390"/>
      <c r="BH3" s="390"/>
      <c r="BI3" s="390"/>
      <c r="BJ3" s="390"/>
      <c r="BK3" s="390"/>
      <c r="BL3" s="390"/>
      <c r="BM3" s="390"/>
      <c r="BN3" s="390"/>
      <c r="BO3" s="390"/>
      <c r="BP3" s="390"/>
      <c r="BQ3" s="390"/>
      <c r="BR3" s="390"/>
      <c r="BS3" s="390"/>
      <c r="BT3" s="390"/>
      <c r="BU3" s="390"/>
      <c r="BV3" s="390"/>
      <c r="BW3" s="390"/>
      <c r="BX3" s="390"/>
      <c r="BY3" s="390"/>
      <c r="BZ3" s="390"/>
      <c r="CA3" s="390"/>
      <c r="CB3" s="390"/>
      <c r="CC3" s="390"/>
      <c r="CD3" s="390"/>
    </row>
    <row r="4" spans="1:82" ht="18" hidden="1">
      <c r="A4" s="390" t="s">
        <v>321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  <c r="AE4" s="390"/>
      <c r="AF4" s="390"/>
      <c r="AG4" s="390"/>
      <c r="AH4" s="390"/>
      <c r="AI4" s="390"/>
      <c r="AJ4" s="390"/>
      <c r="AK4" s="390"/>
      <c r="AL4" s="390"/>
      <c r="AM4" s="390"/>
      <c r="AN4" s="390"/>
      <c r="AO4" s="390"/>
      <c r="AP4" s="390"/>
      <c r="AQ4" s="390"/>
      <c r="AR4" s="390"/>
      <c r="AS4" s="390"/>
      <c r="AT4" s="390"/>
      <c r="AU4" s="390"/>
      <c r="AV4" s="390"/>
      <c r="AW4" s="390"/>
      <c r="AX4" s="390"/>
      <c r="AY4" s="390"/>
      <c r="AZ4" s="390"/>
      <c r="BA4" s="390"/>
      <c r="BB4" s="390"/>
      <c r="BC4" s="390"/>
      <c r="BD4" s="390"/>
      <c r="BE4" s="390"/>
      <c r="BF4" s="390"/>
      <c r="BG4" s="390"/>
      <c r="BH4" s="390"/>
      <c r="BI4" s="390"/>
      <c r="BJ4" s="390"/>
      <c r="BK4" s="390"/>
      <c r="BL4" s="390"/>
      <c r="BM4" s="390"/>
      <c r="BN4" s="390"/>
      <c r="BO4" s="390"/>
      <c r="BP4" s="390"/>
      <c r="BQ4" s="390"/>
      <c r="BR4" s="390"/>
      <c r="BS4" s="390"/>
      <c r="BT4" s="390"/>
      <c r="BU4" s="390"/>
      <c r="BV4" s="390"/>
      <c r="BW4" s="390"/>
      <c r="BX4" s="390"/>
      <c r="BY4" s="390"/>
      <c r="BZ4" s="390"/>
      <c r="CA4" s="390"/>
      <c r="CB4" s="390"/>
      <c r="CC4" s="390"/>
      <c r="CD4" s="390"/>
    </row>
    <row r="5" spans="1:82" ht="18" hidden="1">
      <c r="A5" s="390" t="s">
        <v>4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0"/>
      <c r="AG5" s="390"/>
      <c r="AH5" s="390"/>
      <c r="AI5" s="390"/>
      <c r="AJ5" s="390"/>
      <c r="AK5" s="390"/>
      <c r="AL5" s="390"/>
      <c r="AM5" s="390"/>
      <c r="AN5" s="390"/>
      <c r="AO5" s="390"/>
      <c r="AP5" s="390"/>
      <c r="AQ5" s="390"/>
      <c r="AR5" s="390"/>
      <c r="AS5" s="390"/>
      <c r="AT5" s="390"/>
      <c r="AU5" s="390"/>
      <c r="AV5" s="390"/>
      <c r="AW5" s="390"/>
      <c r="AX5" s="390"/>
      <c r="AY5" s="390"/>
      <c r="AZ5" s="390"/>
      <c r="BA5" s="390"/>
      <c r="BB5" s="390"/>
      <c r="BC5" s="390"/>
      <c r="BD5" s="390"/>
      <c r="BE5" s="390"/>
      <c r="BF5" s="390"/>
      <c r="BG5" s="390"/>
      <c r="BH5" s="390"/>
      <c r="BI5" s="390"/>
      <c r="BJ5" s="390"/>
      <c r="BK5" s="390"/>
      <c r="BL5" s="390"/>
      <c r="BM5" s="390"/>
      <c r="BN5" s="390"/>
      <c r="BO5" s="390"/>
      <c r="BP5" s="390"/>
      <c r="BQ5" s="390"/>
      <c r="BR5" s="390"/>
      <c r="BS5" s="390"/>
      <c r="BT5" s="390"/>
      <c r="BU5" s="390"/>
      <c r="BV5" s="390"/>
      <c r="BW5" s="390"/>
      <c r="BX5" s="390"/>
      <c r="BY5" s="390"/>
      <c r="BZ5" s="390"/>
      <c r="CA5" s="390"/>
      <c r="CB5" s="390"/>
      <c r="CC5" s="390"/>
      <c r="CD5" s="390"/>
    </row>
    <row r="6" spans="1:82" ht="18" hidden="1">
      <c r="A6" s="390" t="s">
        <v>5</v>
      </c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0"/>
      <c r="P6" s="390"/>
      <c r="Q6" s="390"/>
      <c r="R6" s="390"/>
      <c r="S6" s="390"/>
      <c r="T6" s="390"/>
      <c r="U6" s="390"/>
      <c r="V6" s="390"/>
      <c r="W6" s="390"/>
      <c r="X6" s="390"/>
      <c r="Y6" s="390"/>
      <c r="Z6" s="390"/>
      <c r="AA6" s="390"/>
      <c r="AB6" s="390"/>
      <c r="AC6" s="390"/>
      <c r="AD6" s="390"/>
      <c r="AE6" s="390"/>
      <c r="AF6" s="390"/>
      <c r="AG6" s="390"/>
      <c r="AH6" s="390"/>
      <c r="AI6" s="390"/>
      <c r="AJ6" s="390"/>
      <c r="AK6" s="390"/>
      <c r="AL6" s="390"/>
      <c r="AM6" s="390"/>
      <c r="AN6" s="390"/>
      <c r="AO6" s="390"/>
      <c r="AP6" s="390"/>
      <c r="AQ6" s="390"/>
      <c r="AR6" s="390"/>
      <c r="AS6" s="390"/>
      <c r="AT6" s="390"/>
      <c r="AU6" s="390"/>
      <c r="AV6" s="390"/>
      <c r="AW6" s="390"/>
      <c r="AX6" s="390"/>
      <c r="AY6" s="390"/>
      <c r="AZ6" s="390"/>
      <c r="BA6" s="390"/>
      <c r="BB6" s="390"/>
      <c r="BC6" s="390"/>
      <c r="BD6" s="390"/>
      <c r="BE6" s="390"/>
      <c r="BF6" s="390"/>
      <c r="BG6" s="390"/>
      <c r="BH6" s="390"/>
      <c r="BI6" s="390"/>
      <c r="BJ6" s="390"/>
      <c r="BK6" s="390"/>
      <c r="BL6" s="390"/>
      <c r="BM6" s="390"/>
      <c r="BN6" s="390"/>
      <c r="BO6" s="390"/>
      <c r="BP6" s="390"/>
      <c r="BQ6" s="390"/>
      <c r="BR6" s="390"/>
      <c r="BS6" s="390"/>
      <c r="BT6" s="390"/>
      <c r="BU6" s="390"/>
      <c r="BV6" s="390"/>
      <c r="BW6" s="390"/>
      <c r="BX6" s="390"/>
      <c r="BY6" s="390"/>
      <c r="BZ6" s="390"/>
      <c r="CA6" s="390"/>
      <c r="CB6" s="390"/>
      <c r="CC6" s="390"/>
      <c r="CD6" s="390"/>
    </row>
    <row r="7" spans="1:82" ht="18">
      <c r="A7" s="220" t="s">
        <v>1010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220"/>
      <c r="BT7" s="220"/>
      <c r="BU7" s="220"/>
      <c r="BV7" s="220"/>
      <c r="BW7" s="220"/>
      <c r="BX7" s="220"/>
      <c r="BY7" s="220"/>
      <c r="BZ7" s="220"/>
      <c r="CA7" s="220"/>
      <c r="CB7" s="220"/>
      <c r="CC7" s="220"/>
      <c r="CD7" s="220"/>
    </row>
    <row r="8" spans="1:82" s="179" customFormat="1" ht="36.75" customHeight="1">
      <c r="A8" s="176" t="s">
        <v>6</v>
      </c>
      <c r="B8" s="273" t="s">
        <v>612</v>
      </c>
      <c r="C8" s="383" t="s">
        <v>613</v>
      </c>
      <c r="D8" s="383" t="s">
        <v>614</v>
      </c>
      <c r="E8" s="107" t="s">
        <v>617</v>
      </c>
      <c r="F8" s="107" t="s">
        <v>618</v>
      </c>
      <c r="G8" s="177" t="s">
        <v>8</v>
      </c>
      <c r="H8" s="177" t="s">
        <v>9</v>
      </c>
      <c r="I8" s="177" t="s">
        <v>10</v>
      </c>
      <c r="J8" s="177" t="s">
        <v>11</v>
      </c>
      <c r="K8" s="177" t="s">
        <v>12</v>
      </c>
      <c r="L8" s="177" t="s">
        <v>13</v>
      </c>
      <c r="M8" s="177" t="s">
        <v>14</v>
      </c>
      <c r="N8" s="177" t="s">
        <v>15</v>
      </c>
      <c r="O8" s="177" t="s">
        <v>16</v>
      </c>
      <c r="P8" s="177" t="s">
        <v>17</v>
      </c>
      <c r="Q8" s="177" t="s">
        <v>18</v>
      </c>
      <c r="R8" s="177" t="s">
        <v>19</v>
      </c>
      <c r="S8" s="177" t="s">
        <v>20</v>
      </c>
      <c r="T8" s="177" t="s">
        <v>24</v>
      </c>
      <c r="U8" s="177" t="s">
        <v>26</v>
      </c>
      <c r="V8" s="177" t="s">
        <v>27</v>
      </c>
      <c r="W8" s="177" t="s">
        <v>28</v>
      </c>
      <c r="X8" s="177" t="s">
        <v>29</v>
      </c>
      <c r="Y8" s="177" t="s">
        <v>30</v>
      </c>
      <c r="Z8" s="177" t="s">
        <v>31</v>
      </c>
      <c r="AA8" s="177" t="s">
        <v>32</v>
      </c>
      <c r="AB8" s="177" t="s">
        <v>33</v>
      </c>
      <c r="AC8" s="177" t="s">
        <v>615</v>
      </c>
      <c r="AD8" s="177" t="s">
        <v>616</v>
      </c>
      <c r="AE8" s="177" t="s">
        <v>34</v>
      </c>
      <c r="AF8" s="177" t="s">
        <v>35</v>
      </c>
      <c r="AG8" s="177" t="s">
        <v>37</v>
      </c>
      <c r="AH8" s="177" t="s">
        <v>38</v>
      </c>
      <c r="AI8" s="177" t="s">
        <v>47</v>
      </c>
      <c r="AJ8" s="257" t="s">
        <v>21</v>
      </c>
      <c r="AK8" s="257" t="s">
        <v>22</v>
      </c>
      <c r="AL8" s="257" t="s">
        <v>23</v>
      </c>
      <c r="AM8" s="177" t="s">
        <v>25</v>
      </c>
      <c r="AN8" s="177" t="s">
        <v>322</v>
      </c>
      <c r="AO8" s="177" t="s">
        <v>36</v>
      </c>
      <c r="AP8" s="177" t="s">
        <v>48</v>
      </c>
      <c r="AQ8" s="177" t="s">
        <v>50</v>
      </c>
      <c r="AR8" s="177" t="s">
        <v>53</v>
      </c>
      <c r="AS8" s="177" t="s">
        <v>54</v>
      </c>
      <c r="AT8" s="177" t="s">
        <v>56</v>
      </c>
      <c r="AU8" s="107" t="s">
        <v>57</v>
      </c>
      <c r="AV8" s="107" t="s">
        <v>58</v>
      </c>
      <c r="AW8" s="107"/>
      <c r="AX8" s="107" t="s">
        <v>619</v>
      </c>
      <c r="AY8" s="177" t="s">
        <v>66</v>
      </c>
      <c r="AZ8" s="107" t="s">
        <v>67</v>
      </c>
      <c r="BA8" s="107" t="s">
        <v>68</v>
      </c>
      <c r="BB8" s="107" t="s">
        <v>69</v>
      </c>
      <c r="BC8" s="107" t="s">
        <v>70</v>
      </c>
      <c r="BD8" s="107" t="s">
        <v>71</v>
      </c>
      <c r="BE8" s="107" t="s">
        <v>72</v>
      </c>
      <c r="BF8" s="107" t="s">
        <v>73</v>
      </c>
      <c r="BG8" s="107" t="s">
        <v>74</v>
      </c>
      <c r="BH8" s="107" t="s">
        <v>75</v>
      </c>
      <c r="BI8" s="107" t="s">
        <v>76</v>
      </c>
      <c r="BJ8" s="107" t="s">
        <v>77</v>
      </c>
      <c r="BK8" s="107" t="s">
        <v>78</v>
      </c>
      <c r="BL8" s="107" t="s">
        <v>79</v>
      </c>
      <c r="BM8" s="107" t="s">
        <v>83</v>
      </c>
      <c r="BN8" s="178" t="s">
        <v>323</v>
      </c>
      <c r="BO8" s="178" t="s">
        <v>324</v>
      </c>
      <c r="BS8" s="176" t="s">
        <v>620</v>
      </c>
    </row>
    <row r="9" spans="1:82" s="179" customFormat="1" ht="13.5" customHeight="1">
      <c r="A9" s="176" t="s">
        <v>84</v>
      </c>
      <c r="B9" s="273" t="s">
        <v>621</v>
      </c>
      <c r="C9" s="384">
        <v>2026</v>
      </c>
      <c r="D9" s="384">
        <v>2025</v>
      </c>
      <c r="E9" s="107"/>
      <c r="F9" s="107"/>
      <c r="G9" s="177" t="s">
        <v>85</v>
      </c>
      <c r="H9" s="177" t="s">
        <v>85</v>
      </c>
      <c r="I9" s="177" t="s">
        <v>85</v>
      </c>
      <c r="J9" s="177" t="s">
        <v>85</v>
      </c>
      <c r="K9" s="177" t="s">
        <v>85</v>
      </c>
      <c r="L9" s="177" t="s">
        <v>85</v>
      </c>
      <c r="M9" s="177" t="s">
        <v>85</v>
      </c>
      <c r="N9" s="177" t="s">
        <v>85</v>
      </c>
      <c r="O9" s="177" t="s">
        <v>85</v>
      </c>
      <c r="P9" s="177" t="s">
        <v>85</v>
      </c>
      <c r="Q9" s="177" t="s">
        <v>85</v>
      </c>
      <c r="R9" s="177" t="s">
        <v>85</v>
      </c>
      <c r="S9" s="177" t="s">
        <v>85</v>
      </c>
      <c r="T9" s="177" t="s">
        <v>85</v>
      </c>
      <c r="U9" s="177" t="s">
        <v>85</v>
      </c>
      <c r="V9" s="177" t="s">
        <v>85</v>
      </c>
      <c r="W9" s="177" t="s">
        <v>85</v>
      </c>
      <c r="X9" s="177" t="s">
        <v>85</v>
      </c>
      <c r="Y9" s="177" t="s">
        <v>85</v>
      </c>
      <c r="Z9" s="177" t="s">
        <v>85</v>
      </c>
      <c r="AA9" s="177" t="s">
        <v>85</v>
      </c>
      <c r="AB9" s="177" t="s">
        <v>85</v>
      </c>
      <c r="AC9" s="177" t="s">
        <v>85</v>
      </c>
      <c r="AD9" s="177" t="s">
        <v>622</v>
      </c>
      <c r="AE9" s="177" t="s">
        <v>85</v>
      </c>
      <c r="AF9" s="177" t="s">
        <v>85</v>
      </c>
      <c r="AG9" s="177" t="s">
        <v>85</v>
      </c>
      <c r="AH9" s="177" t="s">
        <v>85</v>
      </c>
      <c r="AI9" s="177" t="s">
        <v>85</v>
      </c>
      <c r="AJ9" s="177" t="s">
        <v>85</v>
      </c>
      <c r="AK9" s="177" t="s">
        <v>85</v>
      </c>
      <c r="AL9" s="177" t="s">
        <v>85</v>
      </c>
      <c r="AM9" s="177" t="s">
        <v>85</v>
      </c>
      <c r="AN9" s="177" t="s">
        <v>85</v>
      </c>
      <c r="AO9" s="177" t="s">
        <v>85</v>
      </c>
      <c r="AP9" s="177" t="s">
        <v>85</v>
      </c>
      <c r="AQ9" s="177" t="s">
        <v>85</v>
      </c>
      <c r="AR9" s="177" t="s">
        <v>85</v>
      </c>
      <c r="AS9" s="177" t="s">
        <v>85</v>
      </c>
      <c r="AT9" s="177" t="s">
        <v>85</v>
      </c>
      <c r="AU9" s="107" t="s">
        <v>85</v>
      </c>
      <c r="AV9" s="107" t="s">
        <v>85</v>
      </c>
      <c r="AW9" s="107"/>
      <c r="AX9" s="107"/>
      <c r="AY9" s="177" t="s">
        <v>85</v>
      </c>
      <c r="AZ9" s="107" t="s">
        <v>85</v>
      </c>
      <c r="BA9" s="107" t="s">
        <v>85</v>
      </c>
      <c r="BB9" s="107" t="s">
        <v>85</v>
      </c>
      <c r="BC9" s="107" t="s">
        <v>85</v>
      </c>
      <c r="BD9" s="107" t="s">
        <v>85</v>
      </c>
      <c r="BE9" s="107" t="s">
        <v>85</v>
      </c>
      <c r="BF9" s="107" t="s">
        <v>85</v>
      </c>
      <c r="BG9" s="107" t="s">
        <v>85</v>
      </c>
      <c r="BH9" s="107" t="s">
        <v>85</v>
      </c>
      <c r="BI9" s="107" t="s">
        <v>85</v>
      </c>
      <c r="BJ9" s="107" t="s">
        <v>85</v>
      </c>
      <c r="BK9" s="107" t="s">
        <v>85</v>
      </c>
      <c r="BL9" s="107" t="s">
        <v>85</v>
      </c>
      <c r="BM9" s="107" t="s">
        <v>85</v>
      </c>
      <c r="BN9" s="178" t="s">
        <v>325</v>
      </c>
      <c r="BO9" s="178" t="s">
        <v>326</v>
      </c>
      <c r="BS9" s="176" t="s">
        <v>623</v>
      </c>
    </row>
    <row r="10" spans="1:82">
      <c r="A10" s="3" t="s">
        <v>86</v>
      </c>
      <c r="B10" s="19"/>
      <c r="C10" s="19"/>
      <c r="D10" s="19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S10" s="4"/>
    </row>
    <row r="11" spans="1:82" ht="15.75">
      <c r="A11" s="5" t="s">
        <v>87</v>
      </c>
      <c r="B11" s="19"/>
      <c r="C11" s="19"/>
      <c r="D11" s="19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106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S11" s="4"/>
    </row>
    <row r="12" spans="1:82">
      <c r="A12" s="6" t="s">
        <v>88</v>
      </c>
      <c r="B12" s="19"/>
      <c r="C12" s="19"/>
      <c r="D12" s="19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S12" s="4"/>
      <c r="BT12" t="s">
        <v>88</v>
      </c>
    </row>
    <row r="13" spans="1:82">
      <c r="A13" s="7" t="s">
        <v>89</v>
      </c>
      <c r="B13" s="346">
        <f>SUM(G13:AV13)</f>
        <v>7937989.6700000009</v>
      </c>
      <c r="C13" s="375">
        <f>SUM(E13:AV13)</f>
        <v>8637989.6700000018</v>
      </c>
      <c r="D13" s="375">
        <v>8094820.1900000004</v>
      </c>
      <c r="E13" s="8">
        <f>400000+300000</f>
        <v>700000</v>
      </c>
      <c r="F13" s="8">
        <v>0</v>
      </c>
      <c r="G13" s="8">
        <v>892088</v>
      </c>
      <c r="H13" s="8">
        <f>406511+174219</f>
        <v>580730</v>
      </c>
      <c r="I13" s="8">
        <v>112516</v>
      </c>
      <c r="J13" s="8">
        <v>143165</v>
      </c>
      <c r="K13" s="8">
        <v>65327</v>
      </c>
      <c r="L13" s="8">
        <f>87811.5+87811.5</f>
        <v>175623</v>
      </c>
      <c r="M13" s="8">
        <v>282800</v>
      </c>
      <c r="N13" s="8">
        <f>'June 2024 YTD'!J12*2</f>
        <v>0</v>
      </c>
      <c r="O13" s="8">
        <f>'June 2024 YTD'!K12*2</f>
        <v>0</v>
      </c>
      <c r="P13" s="8">
        <f>50338/2</f>
        <v>25169</v>
      </c>
      <c r="Q13" s="8">
        <v>184806.75</v>
      </c>
      <c r="R13" s="8">
        <v>349833.99</v>
      </c>
      <c r="S13" s="8">
        <v>123698.14</v>
      </c>
      <c r="T13" s="8">
        <v>21266.91</v>
      </c>
      <c r="U13" s="8">
        <f>'June 2024 YTD'!U12*2</f>
        <v>0</v>
      </c>
      <c r="V13" s="8">
        <f>'June 2024 YTD'!V12*2</f>
        <v>0</v>
      </c>
      <c r="W13" s="8">
        <f>'June 2024 YTD'!W12*2</f>
        <v>0</v>
      </c>
      <c r="X13" s="8">
        <v>96682.37</v>
      </c>
      <c r="Y13" s="8">
        <f>'June 2024 YTD'!Y12*2</f>
        <v>0</v>
      </c>
      <c r="Z13" s="8">
        <f>'June 2024 YTD'!Z12*2</f>
        <v>0</v>
      </c>
      <c r="AA13" s="8">
        <f>'June 2024 YTD'!AA12*2</f>
        <v>0</v>
      </c>
      <c r="AB13" s="8">
        <v>205197.63</v>
      </c>
      <c r="AC13" s="8">
        <v>39000</v>
      </c>
      <c r="AD13" s="8">
        <v>15000</v>
      </c>
      <c r="AE13" s="8">
        <v>12000</v>
      </c>
      <c r="AF13" s="8">
        <v>5000</v>
      </c>
      <c r="AG13" s="8">
        <f>2456218</f>
        <v>2456218</v>
      </c>
      <c r="AH13" s="8">
        <f>1735674.88</f>
        <v>1735674.8799999999</v>
      </c>
      <c r="AI13" s="8">
        <v>66850</v>
      </c>
      <c r="AJ13" s="8">
        <v>9492</v>
      </c>
      <c r="AK13" s="8">
        <v>9690</v>
      </c>
      <c r="AL13" s="8">
        <v>10366</v>
      </c>
      <c r="AM13" s="8">
        <v>22168</v>
      </c>
      <c r="AN13" s="8">
        <v>14362</v>
      </c>
      <c r="AO13" s="8">
        <v>0</v>
      </c>
      <c r="AP13" s="8">
        <v>0</v>
      </c>
      <c r="AQ13" s="8">
        <f>8285+200</f>
        <v>8485</v>
      </c>
      <c r="AR13" s="8">
        <v>274780</v>
      </c>
      <c r="AS13" s="8">
        <f>'June 2024 YTD'!AW12*2</f>
        <v>0</v>
      </c>
      <c r="AT13" s="8">
        <f>'June 2024 YTD'!AY12*2</f>
        <v>0</v>
      </c>
      <c r="AU13" s="8">
        <f>'June 2024 YTD'!AZ12*2</f>
        <v>0</v>
      </c>
      <c r="AV13" s="8">
        <f>'June 2024 YTD'!BA12*2</f>
        <v>0</v>
      </c>
      <c r="AW13" s="364"/>
      <c r="AX13" s="8">
        <f>SUM(AY13:BL13)</f>
        <v>6574628</v>
      </c>
      <c r="AY13" s="8">
        <f>429020+43862+378220+138138+755869+3738</f>
        <v>1748847</v>
      </c>
      <c r="AZ13" s="8">
        <f>681651.4+5608</f>
        <v>687259.4</v>
      </c>
      <c r="BA13" s="8">
        <v>2994750.6</v>
      </c>
      <c r="BB13" s="8">
        <v>34900</v>
      </c>
      <c r="BC13" s="8">
        <f>542394+52000+41610</f>
        <v>636004</v>
      </c>
      <c r="BD13" s="8">
        <f>'June 2024 YTD'!BN12*2</f>
        <v>0</v>
      </c>
      <c r="BE13" s="8">
        <f>'June 2024 YTD'!BO12*2</f>
        <v>0</v>
      </c>
      <c r="BF13" s="8">
        <f>'June 2024 YTD'!BP12*2</f>
        <v>0</v>
      </c>
      <c r="BG13" s="8">
        <f>'June 2024 YTD'!BQ12*2</f>
        <v>0</v>
      </c>
      <c r="BH13" s="8">
        <f>'June 2024 YTD'!BR12*2</f>
        <v>0</v>
      </c>
      <c r="BI13" s="8">
        <f>'June 2024 YTD'!BS12*2</f>
        <v>0</v>
      </c>
      <c r="BJ13" s="8">
        <f>'June 2024 YTD'!BT12*2</f>
        <v>0</v>
      </c>
      <c r="BK13" s="8">
        <v>246345</v>
      </c>
      <c r="BL13" s="8">
        <f>(385088+67956)/2</f>
        <v>226522</v>
      </c>
      <c r="BM13" s="8">
        <f>SUM(B13:BL13)</f>
        <v>46458045.200000003</v>
      </c>
      <c r="BS13" s="8" t="e">
        <f>SUM(B13:BL13)-#REF!-AV13-AP13-SUM(AY13:BL13)</f>
        <v>#REF!</v>
      </c>
      <c r="BT13" s="85" t="s">
        <v>89</v>
      </c>
    </row>
    <row r="14" spans="1:82">
      <c r="A14" s="7" t="s">
        <v>90</v>
      </c>
      <c r="B14" s="346">
        <f>SUM(G14:AV14)</f>
        <v>2121406</v>
      </c>
      <c r="C14" s="375">
        <f>SUM(E14:AV14)</f>
        <v>2121406</v>
      </c>
      <c r="D14" s="375">
        <v>1939554</v>
      </c>
      <c r="E14" s="8">
        <v>0</v>
      </c>
      <c r="F14" s="8">
        <v>0</v>
      </c>
      <c r="G14" s="8">
        <v>27690</v>
      </c>
      <c r="H14" s="8">
        <f>'June 2024 YTD'!D13*2</f>
        <v>0</v>
      </c>
      <c r="I14" s="8">
        <f>'June 2024 YTD'!E13*2</f>
        <v>0</v>
      </c>
      <c r="J14" s="8">
        <f>'June 2024 YTD'!F13*2</f>
        <v>0</v>
      </c>
      <c r="K14" s="8">
        <f>'June 2024 YTD'!G13*2</f>
        <v>0</v>
      </c>
      <c r="L14" s="8">
        <f>'June 2024 YTD'!H13*2</f>
        <v>0</v>
      </c>
      <c r="M14" s="8">
        <f>'June 2024 YTD'!I13*2</f>
        <v>0</v>
      </c>
      <c r="N14" s="8">
        <v>744905</v>
      </c>
      <c r="O14" s="8">
        <v>215460</v>
      </c>
      <c r="P14" s="8">
        <f>'June 2024 YTD'!L13*2</f>
        <v>0</v>
      </c>
      <c r="Q14" s="8">
        <f>'June 2024 YTD'!M13*2</f>
        <v>0</v>
      </c>
      <c r="R14" s="8">
        <f>'June 2024 YTD'!N13*2</f>
        <v>0</v>
      </c>
      <c r="S14" s="8">
        <f>'June 2024 YTD'!O13*2</f>
        <v>0</v>
      </c>
      <c r="T14" s="8">
        <f>'June 2024 YTD'!S13*2</f>
        <v>0</v>
      </c>
      <c r="U14" s="8">
        <v>89750</v>
      </c>
      <c r="V14" s="8">
        <f>'June 2024 YTD'!V13*2</f>
        <v>68071</v>
      </c>
      <c r="W14" s="8">
        <v>78002</v>
      </c>
      <c r="X14" s="8">
        <v>96682.37</v>
      </c>
      <c r="Y14" s="8">
        <v>33792</v>
      </c>
      <c r="Z14" s="8">
        <v>65256</v>
      </c>
      <c r="AA14" s="8">
        <v>28700</v>
      </c>
      <c r="AB14" s="8">
        <v>205197.63</v>
      </c>
      <c r="AC14" s="8">
        <v>0</v>
      </c>
      <c r="AD14" s="8">
        <v>0</v>
      </c>
      <c r="AE14" s="8">
        <f>'June 2024 YTD'!AC13*2</f>
        <v>0</v>
      </c>
      <c r="AF14" s="8">
        <f>'June 2024 YTD'!AD13*2</f>
        <v>0</v>
      </c>
      <c r="AG14" s="8">
        <v>0</v>
      </c>
      <c r="AH14" s="8">
        <f>'June 2024 YTD'!AC13*2</f>
        <v>0</v>
      </c>
      <c r="AI14" s="8">
        <f>'June 2024 YTD'!AL13*2</f>
        <v>0</v>
      </c>
      <c r="AJ14" s="8">
        <f>'June 2024 YTD'!AK13*2</f>
        <v>0</v>
      </c>
      <c r="AK14" s="8">
        <f>'June 2024 YTD'!AL13*2</f>
        <v>0</v>
      </c>
      <c r="AL14" s="8">
        <f>'June 2024 YTD'!AM13*2</f>
        <v>0</v>
      </c>
      <c r="AM14" s="8">
        <f>'June 2024 YTD'!AO13*2</f>
        <v>0</v>
      </c>
      <c r="AN14" s="8">
        <v>0</v>
      </c>
      <c r="AO14" s="8">
        <f>'June 2024 YTD'!AL13*2</f>
        <v>0</v>
      </c>
      <c r="AP14" s="8">
        <v>0</v>
      </c>
      <c r="AQ14" s="8">
        <f>'June 2024 YTD'!AS13*2</f>
        <v>0</v>
      </c>
      <c r="AR14" s="8">
        <f>'June 2024 YTD'!AV13*2</f>
        <v>0</v>
      </c>
      <c r="AS14" s="8">
        <v>105122</v>
      </c>
      <c r="AT14" s="8">
        <v>362778</v>
      </c>
      <c r="AU14" s="8">
        <f>'June 2024 YTD'!AZ13*2</f>
        <v>0</v>
      </c>
      <c r="AV14" s="8">
        <f>'June 2024 YTD'!BA13*2</f>
        <v>0</v>
      </c>
      <c r="AW14" s="364"/>
      <c r="AX14" s="8">
        <f t="shared" ref="AX14:AX17" si="0">SUM(AY14:BL14)</f>
        <v>17343399</v>
      </c>
      <c r="AY14" s="8">
        <f>'June 2024 YTD'!BI13*2</f>
        <v>0</v>
      </c>
      <c r="AZ14" s="8">
        <f>'June 2024 YTD'!BJ13*2</f>
        <v>0</v>
      </c>
      <c r="BA14" s="8">
        <f>'June 2024 YTD'!BK13*2</f>
        <v>0</v>
      </c>
      <c r="BB14" s="8">
        <f>'June 2024 YTD'!BL13*2</f>
        <v>0</v>
      </c>
      <c r="BC14" s="8">
        <f>'June 2024 YTD'!BM13*2</f>
        <v>0</v>
      </c>
      <c r="BD14" s="8">
        <f>160132+14512+68505+35985+28700+216511</f>
        <v>524345</v>
      </c>
      <c r="BE14" s="8">
        <v>72745</v>
      </c>
      <c r="BF14" s="8">
        <f>350311+750000</f>
        <v>1100311</v>
      </c>
      <c r="BG14" s="8">
        <f>105571+750000</f>
        <v>855571</v>
      </c>
      <c r="BH14" s="8">
        <f>280244.81+754849.44+3531293.75</f>
        <v>4566388</v>
      </c>
      <c r="BI14" s="8">
        <f>596899.75+1875931.49+6770723.76</f>
        <v>9243555</v>
      </c>
      <c r="BJ14" s="8">
        <f>636011.5+52667.17+291805.33</f>
        <v>980484</v>
      </c>
      <c r="BK14" s="8">
        <f>'June 2024 YTD'!BU13*2</f>
        <v>0</v>
      </c>
      <c r="BL14" s="8">
        <f>'June 2024 YTD'!BV13*2</f>
        <v>0</v>
      </c>
      <c r="BM14" s="8">
        <f>SUM(B14:BL14)</f>
        <v>42990570</v>
      </c>
      <c r="BS14" s="8" t="e">
        <f>SUM(B14:BL14)-#REF!-AV14-AP14-SUM(AY14:BL14)</f>
        <v>#REF!</v>
      </c>
      <c r="BT14" t="s">
        <v>90</v>
      </c>
    </row>
    <row r="15" spans="1:82">
      <c r="A15" s="7" t="s">
        <v>91</v>
      </c>
      <c r="B15" s="346">
        <f>SUM(G15:AV15)</f>
        <v>100000</v>
      </c>
      <c r="C15" s="375">
        <f>SUM(E15:AV15)</f>
        <v>214704.83</v>
      </c>
      <c r="D15" s="375">
        <v>507000</v>
      </c>
      <c r="E15" s="8">
        <v>0</v>
      </c>
      <c r="F15" s="8">
        <f>113731.09+961.78+32.93+18.29+292.72-337.11+5.13</f>
        <v>114704.82999999999</v>
      </c>
      <c r="G15" s="8">
        <f>'June 2024 YTD'!C14*2</f>
        <v>0</v>
      </c>
      <c r="H15" s="8">
        <f>'June 2024 YTD'!D14*2</f>
        <v>0</v>
      </c>
      <c r="I15" s="8">
        <f>'June 2024 YTD'!E14*2</f>
        <v>0</v>
      </c>
      <c r="J15" s="8">
        <f>'June 2024 YTD'!F14*2</f>
        <v>0</v>
      </c>
      <c r="K15" s="8">
        <f>'June 2024 YTD'!G14*2</f>
        <v>0</v>
      </c>
      <c r="L15" s="8">
        <f>'June 2024 YTD'!H14*2</f>
        <v>0</v>
      </c>
      <c r="M15" s="8">
        <f>'June 2024 YTD'!I14*2</f>
        <v>0</v>
      </c>
      <c r="N15" s="8">
        <f>'June 2024 YTD'!J14*2</f>
        <v>0</v>
      </c>
      <c r="O15" s="8">
        <f>'June 2024 YTD'!K14*2</f>
        <v>0</v>
      </c>
      <c r="P15" s="8">
        <f>'June 2024 YTD'!L14*2</f>
        <v>0</v>
      </c>
      <c r="Q15" s="8">
        <f>'June 2024 YTD'!M14*2</f>
        <v>0</v>
      </c>
      <c r="R15" s="8">
        <f>'June 2024 YTD'!N14*2</f>
        <v>0</v>
      </c>
      <c r="S15" s="8">
        <f>'June 2024 YTD'!O14*2</f>
        <v>0</v>
      </c>
      <c r="T15" s="8">
        <f>'June 2024 YTD'!S14*2</f>
        <v>0</v>
      </c>
      <c r="U15" s="8">
        <f>'June 2024 YTD'!U14*2</f>
        <v>0</v>
      </c>
      <c r="V15" s="8">
        <f>'June 2024 YTD'!V14*2</f>
        <v>0</v>
      </c>
      <c r="W15" s="8">
        <f>'June 2024 YTD'!W14*2</f>
        <v>0</v>
      </c>
      <c r="X15" s="8">
        <f>'June 2024 YTD'!X14*2</f>
        <v>0</v>
      </c>
      <c r="Y15" s="8">
        <v>0</v>
      </c>
      <c r="Z15" s="8">
        <v>0</v>
      </c>
      <c r="AA15" s="8">
        <v>0</v>
      </c>
      <c r="AB15" s="8">
        <f>'June 2024 YTD'!AB14*2</f>
        <v>0</v>
      </c>
      <c r="AC15" s="8">
        <v>0</v>
      </c>
      <c r="AD15" s="8">
        <v>0</v>
      </c>
      <c r="AE15" s="8">
        <f>'June 2024 YTD'!AC14*2</f>
        <v>0</v>
      </c>
      <c r="AF15" s="8">
        <f>'June 2024 YTD'!AD14*2</f>
        <v>0</v>
      </c>
      <c r="AG15" s="8">
        <v>0</v>
      </c>
      <c r="AH15" s="8">
        <v>0</v>
      </c>
      <c r="AI15" s="8">
        <f>'June 2024 YTD'!AL14*2</f>
        <v>0</v>
      </c>
      <c r="AJ15" s="8">
        <f>'June 2024 YTD'!AK14*2</f>
        <v>0</v>
      </c>
      <c r="AK15" s="8">
        <f>'June 2024 YTD'!AL14*2</f>
        <v>0</v>
      </c>
      <c r="AL15" s="8">
        <f>'June 2024 YTD'!AM14*2</f>
        <v>0</v>
      </c>
      <c r="AM15" s="8">
        <f>'June 2024 YTD'!AO14*2</f>
        <v>0</v>
      </c>
      <c r="AN15" s="8">
        <v>0</v>
      </c>
      <c r="AO15" s="8">
        <f>'June 2024 YTD'!AL14*2</f>
        <v>0</v>
      </c>
      <c r="AP15" s="8">
        <v>0</v>
      </c>
      <c r="AQ15" s="8">
        <f>'June 2024 YTD'!AS14*2</f>
        <v>0</v>
      </c>
      <c r="AR15" s="8">
        <f>'June 2024 YTD'!AV14*2</f>
        <v>0</v>
      </c>
      <c r="AS15" s="8">
        <v>0</v>
      </c>
      <c r="AT15" s="8">
        <f>'June 2024 YTD'!AY14*2</f>
        <v>0</v>
      </c>
      <c r="AU15" s="8">
        <f>'June 2024 YTD'!AZ14*2</f>
        <v>0</v>
      </c>
      <c r="AV15" s="8">
        <v>100000</v>
      </c>
      <c r="AW15" s="364"/>
      <c r="AX15" s="8">
        <f t="shared" si="0"/>
        <v>0</v>
      </c>
      <c r="AY15" s="8">
        <f>'June 2024 YTD'!BI14*2</f>
        <v>0</v>
      </c>
      <c r="AZ15" s="8">
        <f>'June 2024 YTD'!BJ14*2</f>
        <v>0</v>
      </c>
      <c r="BA15" s="8">
        <f>'June 2024 YTD'!BK14*2</f>
        <v>0</v>
      </c>
      <c r="BB15" s="8">
        <f>'June 2024 YTD'!BL14*2</f>
        <v>0</v>
      </c>
      <c r="BC15" s="8">
        <f>'June 2024 YTD'!BM14*2</f>
        <v>0</v>
      </c>
      <c r="BD15" s="8">
        <f>'June 2024 YTD'!BN14*2</f>
        <v>0</v>
      </c>
      <c r="BE15" s="8">
        <f>'June 2024 YTD'!BO14*2</f>
        <v>0</v>
      </c>
      <c r="BF15" s="8">
        <f>'June 2024 YTD'!BP14*2</f>
        <v>0</v>
      </c>
      <c r="BG15" s="8">
        <f>'June 2024 YTD'!BQ14*2</f>
        <v>0</v>
      </c>
      <c r="BH15" s="8">
        <f>'June 2024 YTD'!BR14*2</f>
        <v>0</v>
      </c>
      <c r="BI15" s="8">
        <f>'June 2024 YTD'!BS14*2</f>
        <v>0</v>
      </c>
      <c r="BJ15" s="8">
        <f>'June 2024 YTD'!BT14*2</f>
        <v>0</v>
      </c>
      <c r="BK15" s="8">
        <f>'June 2024 YTD'!BU14*2</f>
        <v>0</v>
      </c>
      <c r="BL15" s="8">
        <f>'June 2024 YTD'!BV14*2</f>
        <v>0</v>
      </c>
      <c r="BM15" s="8">
        <f>SUM(B15:BL15)</f>
        <v>1036409.6599999999</v>
      </c>
      <c r="BS15" s="8" t="e">
        <f>SUM(B15:BL15)-#REF!-AV15-AP15-SUM(AY15:BL15)</f>
        <v>#REF!</v>
      </c>
      <c r="BT15" t="s">
        <v>91</v>
      </c>
    </row>
    <row r="16" spans="1:82">
      <c r="A16" s="7" t="s">
        <v>92</v>
      </c>
      <c r="B16" s="346">
        <f>SUM(G16:AV16)</f>
        <v>955000</v>
      </c>
      <c r="C16" s="375">
        <f>SUM(E16:AV16)</f>
        <v>955000</v>
      </c>
      <c r="D16" s="375">
        <v>825420</v>
      </c>
      <c r="E16" s="8">
        <v>0</v>
      </c>
      <c r="F16" s="8">
        <v>0</v>
      </c>
      <c r="G16" s="8">
        <f>'June 2024 YTD'!C15*2</f>
        <v>0</v>
      </c>
      <c r="H16" s="8">
        <f>'June 2024 YTD'!D15*2</f>
        <v>0</v>
      </c>
      <c r="I16" s="8">
        <f>'June 2024 YTD'!E15*2</f>
        <v>0</v>
      </c>
      <c r="J16" s="8">
        <f>'June 2024 YTD'!F15*2</f>
        <v>0</v>
      </c>
      <c r="K16" s="8">
        <f>'June 2024 YTD'!G15*2</f>
        <v>0</v>
      </c>
      <c r="L16" s="8">
        <f>'June 2024 YTD'!H15*2</f>
        <v>0</v>
      </c>
      <c r="M16" s="8">
        <f>'June 2024 YTD'!I15*2</f>
        <v>0</v>
      </c>
      <c r="N16" s="8">
        <f>'June 2024 YTD'!J15*2</f>
        <v>0</v>
      </c>
      <c r="O16" s="8">
        <f>'June 2024 YTD'!K15*2</f>
        <v>0</v>
      </c>
      <c r="P16" s="8">
        <f>'June 2024 YTD'!L15*2</f>
        <v>0</v>
      </c>
      <c r="Q16" s="8">
        <f>'June 2024 YTD'!M15*2</f>
        <v>0</v>
      </c>
      <c r="R16" s="8">
        <f>'June 2024 YTD'!N15*2</f>
        <v>0</v>
      </c>
      <c r="S16" s="8">
        <f>'June 2024 YTD'!O15*2</f>
        <v>0</v>
      </c>
      <c r="T16" s="8">
        <f>'June 2024 YTD'!S15*2</f>
        <v>0</v>
      </c>
      <c r="U16" s="8">
        <f>'June 2024 YTD'!U15*2</f>
        <v>0</v>
      </c>
      <c r="V16" s="8">
        <f>'June 2024 YTD'!V15*2</f>
        <v>0</v>
      </c>
      <c r="W16" s="8">
        <f>'June 2024 YTD'!W15*2</f>
        <v>0</v>
      </c>
      <c r="X16" s="8">
        <f>'June 2024 YTD'!X15*2</f>
        <v>0</v>
      </c>
      <c r="Y16" s="8">
        <f>'June 2024 YTD'!Y15*2</f>
        <v>0</v>
      </c>
      <c r="Z16" s="8">
        <f>'June 2024 YTD'!Z15*2</f>
        <v>0</v>
      </c>
      <c r="AA16" s="8">
        <f>'June 2024 YTD'!AA15*2</f>
        <v>0</v>
      </c>
      <c r="AB16" s="8">
        <f>'June 2024 YTD'!AB15*2</f>
        <v>0</v>
      </c>
      <c r="AC16" s="8">
        <v>0</v>
      </c>
      <c r="AD16" s="8">
        <v>0</v>
      </c>
      <c r="AE16" s="8">
        <f>'June 2024 YTD'!AC15*2</f>
        <v>0</v>
      </c>
      <c r="AF16" s="8">
        <f>'June 2024 YTD'!AD15*2</f>
        <v>0</v>
      </c>
      <c r="AG16" s="8">
        <v>575000</v>
      </c>
      <c r="AH16" s="8">
        <v>380000</v>
      </c>
      <c r="AI16" s="8">
        <f>'June 2024 YTD'!AL15*2</f>
        <v>0</v>
      </c>
      <c r="AJ16" s="8">
        <f>'June 2024 YTD'!AK15*2</f>
        <v>0</v>
      </c>
      <c r="AK16" s="8">
        <f>'June 2024 YTD'!AL15*2</f>
        <v>0</v>
      </c>
      <c r="AL16" s="8">
        <f>'June 2024 YTD'!AM15*2</f>
        <v>0</v>
      </c>
      <c r="AM16" s="8">
        <f>'June 2024 YTD'!AO15*2</f>
        <v>0</v>
      </c>
      <c r="AN16" s="8">
        <v>0</v>
      </c>
      <c r="AO16" s="8">
        <f>'June 2024 YTD'!AL15*2</f>
        <v>0</v>
      </c>
      <c r="AP16" s="8">
        <v>0</v>
      </c>
      <c r="AQ16" s="8">
        <f>'June 2024 YTD'!AS15*2</f>
        <v>0</v>
      </c>
      <c r="AR16" s="8">
        <f>'June 2024 YTD'!AV15*2</f>
        <v>0</v>
      </c>
      <c r="AS16" s="8">
        <f>'June 2024 YTD'!AW15*2</f>
        <v>0</v>
      </c>
      <c r="AT16" s="8">
        <f>'June 2024 YTD'!AY15*2</f>
        <v>0</v>
      </c>
      <c r="AU16" s="8">
        <f>'June 2024 YTD'!AZ15*2</f>
        <v>0</v>
      </c>
      <c r="AV16" s="8">
        <f>'June 2024 YTD'!BA15*2</f>
        <v>0</v>
      </c>
      <c r="AW16" s="364"/>
      <c r="AX16" s="8">
        <f t="shared" si="0"/>
        <v>0</v>
      </c>
      <c r="AY16" s="8">
        <f>'June 2024 YTD'!BI15*2</f>
        <v>0</v>
      </c>
      <c r="AZ16" s="8">
        <f>'June 2024 YTD'!BJ15*2</f>
        <v>0</v>
      </c>
      <c r="BA16" s="8">
        <f>'June 2024 YTD'!BK15*2</f>
        <v>0</v>
      </c>
      <c r="BB16" s="8">
        <f>'June 2024 YTD'!BL15*2</f>
        <v>0</v>
      </c>
      <c r="BC16" s="8">
        <f>'June 2024 YTD'!BM15*2</f>
        <v>0</v>
      </c>
      <c r="BD16" s="8">
        <f>'June 2024 YTD'!BN15*2</f>
        <v>0</v>
      </c>
      <c r="BE16" s="8">
        <f>'June 2024 YTD'!BO15*2</f>
        <v>0</v>
      </c>
      <c r="BF16" s="8">
        <f>'June 2024 YTD'!BP15*2</f>
        <v>0</v>
      </c>
      <c r="BG16" s="8">
        <f>'June 2024 YTD'!BQ15*2</f>
        <v>0</v>
      </c>
      <c r="BH16" s="8">
        <f>'June 2024 YTD'!BR15*2</f>
        <v>0</v>
      </c>
      <c r="BI16" s="8">
        <f>'June 2024 YTD'!BS15*2</f>
        <v>0</v>
      </c>
      <c r="BJ16" s="8">
        <f>'June 2024 YTD'!BT15*2</f>
        <v>0</v>
      </c>
      <c r="BK16" s="8">
        <f>'June 2024 YTD'!BU15*2</f>
        <v>0</v>
      </c>
      <c r="BL16" s="8">
        <f>'June 2024 YTD'!BV15*2</f>
        <v>0</v>
      </c>
      <c r="BM16" s="8">
        <f>SUM(B16:BL16)</f>
        <v>3690420</v>
      </c>
      <c r="BS16" s="8" t="e">
        <f>SUM(B16:BL16)-#REF!-AV16-AP16-SUM(AY16:BL16)</f>
        <v>#REF!</v>
      </c>
      <c r="BT16" t="s">
        <v>92</v>
      </c>
    </row>
    <row r="17" spans="1:72">
      <c r="A17" s="7" t="s">
        <v>93</v>
      </c>
      <c r="B17" s="346">
        <f>SUM(G17:AV17)</f>
        <v>40982</v>
      </c>
      <c r="C17" s="375">
        <f>SUM(E17:AV17)</f>
        <v>40982</v>
      </c>
      <c r="D17" s="375">
        <v>40648</v>
      </c>
      <c r="E17" s="8">
        <v>0</v>
      </c>
      <c r="F17" s="8">
        <v>0</v>
      </c>
      <c r="G17" s="8">
        <f>'June 2024 YTD'!C16*2</f>
        <v>0</v>
      </c>
      <c r="H17" s="8">
        <f>'June 2024 YTD'!D16*2</f>
        <v>0</v>
      </c>
      <c r="I17" s="8">
        <f>'June 2024 YTD'!E16*2</f>
        <v>0</v>
      </c>
      <c r="J17" s="8">
        <f>'June 2024 YTD'!F16*2</f>
        <v>0</v>
      </c>
      <c r="K17" s="8">
        <f>'June 2024 YTD'!G16*2</f>
        <v>0</v>
      </c>
      <c r="L17" s="8">
        <f>'June 2024 YTD'!H16*2</f>
        <v>0</v>
      </c>
      <c r="M17" s="8">
        <f>'June 2024 YTD'!I16*2</f>
        <v>0</v>
      </c>
      <c r="N17" s="8">
        <f>'June 2024 YTD'!J16*2</f>
        <v>0</v>
      </c>
      <c r="O17" s="8">
        <f>'June 2024 YTD'!K16*2</f>
        <v>0</v>
      </c>
      <c r="P17" s="8">
        <f>'June 2024 YTD'!L16*2</f>
        <v>0</v>
      </c>
      <c r="Q17" s="8">
        <f>'June 2024 YTD'!M16*2</f>
        <v>0</v>
      </c>
      <c r="R17" s="8">
        <f>'June 2024 YTD'!N16*2</f>
        <v>0</v>
      </c>
      <c r="S17" s="8">
        <f>'June 2024 YTD'!O16*2</f>
        <v>0</v>
      </c>
      <c r="T17" s="8">
        <f>'June 2024 YTD'!S16*2</f>
        <v>0</v>
      </c>
      <c r="U17" s="8">
        <f>'June 2024 YTD'!U16*2</f>
        <v>0</v>
      </c>
      <c r="V17" s="8">
        <f>'June 2024 YTD'!V16*2</f>
        <v>0</v>
      </c>
      <c r="W17" s="8">
        <f>'June 2024 YTD'!W16*2</f>
        <v>0</v>
      </c>
      <c r="X17" s="8">
        <f>'June 2024 YTD'!X16*2</f>
        <v>0</v>
      </c>
      <c r="Y17" s="8">
        <f>'June 2024 YTD'!Y16*2</f>
        <v>0</v>
      </c>
      <c r="Z17" s="8">
        <f>'June 2024 YTD'!Z16*2</f>
        <v>0</v>
      </c>
      <c r="AA17" s="8">
        <f>'June 2024 YTD'!AA16*2</f>
        <v>0</v>
      </c>
      <c r="AB17" s="8">
        <f>'June 2024 YTD'!AB16*2</f>
        <v>0</v>
      </c>
      <c r="AC17" s="8">
        <v>0</v>
      </c>
      <c r="AD17" s="8">
        <v>0</v>
      </c>
      <c r="AE17" s="8">
        <f>'June 2024 YTD'!AC16*2</f>
        <v>0</v>
      </c>
      <c r="AF17" s="8">
        <f>'June 2024 YTD'!AD16*2</f>
        <v>0</v>
      </c>
      <c r="AG17" s="8">
        <f>'June 2025 YTD'!AC16*2</f>
        <v>17200</v>
      </c>
      <c r="AH17" s="8">
        <f>'June 2025 YTD'!AD16*2</f>
        <v>23782</v>
      </c>
      <c r="AI17" s="8">
        <f>'June 2024 YTD'!AL16*2</f>
        <v>0</v>
      </c>
      <c r="AJ17" s="8">
        <f>'June 2024 YTD'!AK16*2</f>
        <v>0</v>
      </c>
      <c r="AK17" s="8">
        <f>'June 2024 YTD'!AL16*2</f>
        <v>0</v>
      </c>
      <c r="AL17" s="8">
        <f>'June 2024 YTD'!AM16*2</f>
        <v>0</v>
      </c>
      <c r="AM17" s="8">
        <f>'June 2024 YTD'!AO16*2</f>
        <v>0</v>
      </c>
      <c r="AN17" s="8">
        <v>0</v>
      </c>
      <c r="AO17" s="8">
        <f>'June 2024 YTD'!AL16*2</f>
        <v>0</v>
      </c>
      <c r="AP17" s="8">
        <v>0</v>
      </c>
      <c r="AQ17" s="8">
        <f>'June 2024 YTD'!AS16*2</f>
        <v>0</v>
      </c>
      <c r="AR17" s="8">
        <f>'June 2024 YTD'!AV16*2</f>
        <v>0</v>
      </c>
      <c r="AS17" s="8">
        <f>'June 2024 YTD'!AW16*2</f>
        <v>0</v>
      </c>
      <c r="AT17" s="8">
        <f>'June 2024 YTD'!AY16*2</f>
        <v>0</v>
      </c>
      <c r="AU17" s="8">
        <f>'June 2024 YTD'!AZ16*2</f>
        <v>0</v>
      </c>
      <c r="AV17" s="8">
        <f>'June 2024 YTD'!BA16*2</f>
        <v>0</v>
      </c>
      <c r="AW17" s="364"/>
      <c r="AX17" s="8">
        <f t="shared" si="0"/>
        <v>0</v>
      </c>
      <c r="AY17" s="8">
        <f>'June 2024 YTD'!BI16*2</f>
        <v>0</v>
      </c>
      <c r="AZ17" s="8">
        <f>'June 2024 YTD'!BJ16*2</f>
        <v>0</v>
      </c>
      <c r="BA17" s="8">
        <f>'June 2024 YTD'!BK16*2</f>
        <v>0</v>
      </c>
      <c r="BB17" s="8">
        <f>'June 2024 YTD'!BL16*2</f>
        <v>0</v>
      </c>
      <c r="BC17" s="8">
        <f>'June 2024 YTD'!BM16*2</f>
        <v>0</v>
      </c>
      <c r="BD17" s="8">
        <f>'June 2024 YTD'!BN16*2</f>
        <v>0</v>
      </c>
      <c r="BE17" s="8">
        <f>'June 2024 YTD'!BO16*2</f>
        <v>0</v>
      </c>
      <c r="BF17" s="8">
        <f>'June 2024 YTD'!BP16*2</f>
        <v>0</v>
      </c>
      <c r="BG17" s="8">
        <f>'June 2024 YTD'!BQ16*2</f>
        <v>0</v>
      </c>
      <c r="BH17" s="8">
        <f>'June 2024 YTD'!BR16*2</f>
        <v>0</v>
      </c>
      <c r="BI17" s="8">
        <f>'June 2024 YTD'!BS16*2</f>
        <v>0</v>
      </c>
      <c r="BJ17" s="8">
        <f>'June 2024 YTD'!BT16*2</f>
        <v>0</v>
      </c>
      <c r="BK17" s="8">
        <f>'June 2024 YTD'!BU16*2</f>
        <v>0</v>
      </c>
      <c r="BL17" s="8">
        <f>'June 2024 YTD'!BV16*2</f>
        <v>0</v>
      </c>
      <c r="BM17" s="8">
        <f>SUM(B17:BL17)</f>
        <v>163594</v>
      </c>
      <c r="BS17" s="8" t="e">
        <f>SUM(B17:BL17)-#REF!-AV17-AP17-SUM(AY17:BL17)</f>
        <v>#REF!</v>
      </c>
      <c r="BT17" t="s">
        <v>93</v>
      </c>
    </row>
    <row r="18" spans="1:72">
      <c r="A18" s="9" t="s">
        <v>94</v>
      </c>
      <c r="B18" s="287">
        <f t="shared" ref="B18:BC18" si="1">SUM(B13:B17)</f>
        <v>11155377.670000002</v>
      </c>
      <c r="C18" s="377">
        <f t="shared" ref="C18" si="2">SUM(C13:C17)</f>
        <v>11970082.500000002</v>
      </c>
      <c r="D18" s="378">
        <f>SUM(D13:D17)</f>
        <v>11407442.190000001</v>
      </c>
      <c r="E18" s="10">
        <f>SUM(E13:E17)</f>
        <v>700000</v>
      </c>
      <c r="F18" s="10">
        <f>SUM(F13:F17)</f>
        <v>114704.82999999999</v>
      </c>
      <c r="G18" s="10">
        <f t="shared" si="1"/>
        <v>919778</v>
      </c>
      <c r="H18" s="10">
        <f t="shared" si="1"/>
        <v>580730</v>
      </c>
      <c r="I18" s="10">
        <f t="shared" si="1"/>
        <v>112516</v>
      </c>
      <c r="J18" s="10">
        <f t="shared" si="1"/>
        <v>143165</v>
      </c>
      <c r="K18" s="10">
        <f t="shared" si="1"/>
        <v>65327</v>
      </c>
      <c r="L18" s="10">
        <f t="shared" si="1"/>
        <v>175623</v>
      </c>
      <c r="M18" s="10">
        <f t="shared" si="1"/>
        <v>282800</v>
      </c>
      <c r="N18" s="10">
        <f t="shared" si="1"/>
        <v>744905</v>
      </c>
      <c r="O18" s="10">
        <f t="shared" si="1"/>
        <v>215460</v>
      </c>
      <c r="P18" s="10">
        <f t="shared" si="1"/>
        <v>25169</v>
      </c>
      <c r="Q18" s="10">
        <f t="shared" si="1"/>
        <v>184806.75</v>
      </c>
      <c r="R18" s="10">
        <f t="shared" si="1"/>
        <v>349833.99</v>
      </c>
      <c r="S18" s="10">
        <f t="shared" si="1"/>
        <v>123698.14</v>
      </c>
      <c r="T18" s="10">
        <f t="shared" si="1"/>
        <v>21266.91</v>
      </c>
      <c r="U18" s="10">
        <f t="shared" si="1"/>
        <v>89750</v>
      </c>
      <c r="V18" s="10">
        <f t="shared" si="1"/>
        <v>68071</v>
      </c>
      <c r="W18" s="10">
        <f t="shared" si="1"/>
        <v>78002</v>
      </c>
      <c r="X18" s="10">
        <f t="shared" si="1"/>
        <v>193364.74</v>
      </c>
      <c r="Y18" s="10">
        <f t="shared" si="1"/>
        <v>33792</v>
      </c>
      <c r="Z18" s="10">
        <f t="shared" si="1"/>
        <v>65256</v>
      </c>
      <c r="AA18" s="10">
        <f t="shared" si="1"/>
        <v>28700</v>
      </c>
      <c r="AB18" s="10">
        <f t="shared" si="1"/>
        <v>410395.26</v>
      </c>
      <c r="AC18" s="10">
        <f>SUM(AC13:AC17)</f>
        <v>39000</v>
      </c>
      <c r="AD18" s="10">
        <f>SUM(AD13:AD17)</f>
        <v>15000</v>
      </c>
      <c r="AE18" s="10">
        <f t="shared" si="1"/>
        <v>12000</v>
      </c>
      <c r="AF18" s="10">
        <f t="shared" si="1"/>
        <v>5000</v>
      </c>
      <c r="AG18" s="10">
        <f t="shared" ref="AG18:AH18" si="3">SUM(AG13:AG17)</f>
        <v>3048418</v>
      </c>
      <c r="AH18" s="10">
        <f t="shared" si="3"/>
        <v>2139456.88</v>
      </c>
      <c r="AI18" s="10">
        <f t="shared" ref="AI18" si="4">SUM(AI13:AI17)</f>
        <v>66850</v>
      </c>
      <c r="AJ18" s="10">
        <f t="shared" ref="AJ18:AO18" si="5">SUM(AJ13:AJ17)</f>
        <v>9492</v>
      </c>
      <c r="AK18" s="10">
        <f t="shared" si="5"/>
        <v>9690</v>
      </c>
      <c r="AL18" s="10">
        <f t="shared" si="5"/>
        <v>10366</v>
      </c>
      <c r="AM18" s="10">
        <f t="shared" si="5"/>
        <v>22168</v>
      </c>
      <c r="AN18" s="10">
        <f t="shared" si="5"/>
        <v>14362</v>
      </c>
      <c r="AO18" s="10">
        <f t="shared" si="5"/>
        <v>0</v>
      </c>
      <c r="AP18" s="10">
        <f t="shared" si="1"/>
        <v>0</v>
      </c>
      <c r="AQ18" s="10">
        <f t="shared" si="1"/>
        <v>8485</v>
      </c>
      <c r="AR18" s="10">
        <f t="shared" si="1"/>
        <v>274780</v>
      </c>
      <c r="AS18" s="10">
        <f t="shared" si="1"/>
        <v>105122</v>
      </c>
      <c r="AT18" s="10">
        <f t="shared" si="1"/>
        <v>362778</v>
      </c>
      <c r="AU18" s="10">
        <f t="shared" si="1"/>
        <v>0</v>
      </c>
      <c r="AV18" s="10">
        <f t="shared" si="1"/>
        <v>100000</v>
      </c>
      <c r="AW18" s="365"/>
      <c r="AX18" s="10">
        <f>SUM(AX13:AX17)</f>
        <v>23918027</v>
      </c>
      <c r="AY18" s="10">
        <f t="shared" si="1"/>
        <v>1748847</v>
      </c>
      <c r="AZ18" s="10">
        <f t="shared" si="1"/>
        <v>687259.4</v>
      </c>
      <c r="BA18" s="10">
        <f t="shared" si="1"/>
        <v>2994750.6</v>
      </c>
      <c r="BB18" s="10">
        <f t="shared" si="1"/>
        <v>34900</v>
      </c>
      <c r="BC18" s="10">
        <f t="shared" si="1"/>
        <v>636004</v>
      </c>
      <c r="BD18" s="10">
        <f t="shared" ref="BD18:BM18" si="6">SUM(BD13:BD17)</f>
        <v>524345</v>
      </c>
      <c r="BE18" s="10">
        <f t="shared" si="6"/>
        <v>72745</v>
      </c>
      <c r="BF18" s="10">
        <f t="shared" si="6"/>
        <v>1100311</v>
      </c>
      <c r="BG18" s="10">
        <f t="shared" si="6"/>
        <v>855571</v>
      </c>
      <c r="BH18" s="10">
        <f t="shared" si="6"/>
        <v>4566388</v>
      </c>
      <c r="BI18" s="10">
        <f t="shared" si="6"/>
        <v>9243555</v>
      </c>
      <c r="BJ18" s="10">
        <f t="shared" si="6"/>
        <v>980484</v>
      </c>
      <c r="BK18" s="10">
        <f t="shared" si="6"/>
        <v>246345</v>
      </c>
      <c r="BL18" s="10">
        <f t="shared" si="6"/>
        <v>226522</v>
      </c>
      <c r="BM18" s="10">
        <f t="shared" si="6"/>
        <v>94339038.859999999</v>
      </c>
      <c r="BS18" s="10" t="e">
        <f t="shared" ref="BS18" si="7">SUM(BS13:BS17)</f>
        <v>#REF!</v>
      </c>
      <c r="BT18" t="s">
        <v>94</v>
      </c>
    </row>
    <row r="19" spans="1:72">
      <c r="A19" s="6" t="s">
        <v>95</v>
      </c>
      <c r="B19" s="351"/>
      <c r="C19" s="82"/>
      <c r="D19" s="82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366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S19" s="4"/>
      <c r="BT19" t="s">
        <v>95</v>
      </c>
    </row>
    <row r="20" spans="1:72">
      <c r="A20" s="7" t="s">
        <v>96</v>
      </c>
      <c r="B20" s="346">
        <f>SUM(G20:AV20)</f>
        <v>205843.26666666666</v>
      </c>
      <c r="C20" s="375">
        <f>SUM(E20:AV20)</f>
        <v>205843.26666666666</v>
      </c>
      <c r="D20" s="375">
        <v>286081.55</v>
      </c>
      <c r="E20" s="8">
        <v>0</v>
      </c>
      <c r="F20" s="8">
        <v>0</v>
      </c>
      <c r="G20" s="8">
        <f>'June 2025 YTD'!C19</f>
        <v>0</v>
      </c>
      <c r="H20" s="8">
        <f>'June 2025 YTD'!D19</f>
        <v>0</v>
      </c>
      <c r="I20" s="8">
        <f>1740/9*12</f>
        <v>2320</v>
      </c>
      <c r="J20" s="8">
        <f>'June 2025 YTD'!F19</f>
        <v>0</v>
      </c>
      <c r="K20" s="8">
        <f>'June 2025 YTD'!G19</f>
        <v>0</v>
      </c>
      <c r="L20" s="8">
        <f>'June 2025 YTD'!H19</f>
        <v>0</v>
      </c>
      <c r="M20" s="8">
        <f>'June 2025 YTD'!I19</f>
        <v>0</v>
      </c>
      <c r="N20" s="8">
        <f>'June 2025 YTD'!J19</f>
        <v>0</v>
      </c>
      <c r="O20" s="8">
        <f>'June 2025 YTD'!K19</f>
        <v>0</v>
      </c>
      <c r="P20" s="8">
        <f>'June 2025 YTD'!L19</f>
        <v>0</v>
      </c>
      <c r="Q20" s="8">
        <f>'June 2025 YTD'!M19</f>
        <v>0</v>
      </c>
      <c r="R20" s="8">
        <v>0</v>
      </c>
      <c r="S20" s="8">
        <f>'June 2025 YTD'!O19</f>
        <v>0</v>
      </c>
      <c r="T20" s="8">
        <f>'June 2025 YTD'!P19</f>
        <v>0</v>
      </c>
      <c r="U20" s="8">
        <f>'June 2025 YTD'!Q19</f>
        <v>0</v>
      </c>
      <c r="V20" s="8">
        <f>'June 2025 YTD'!R19</f>
        <v>0</v>
      </c>
      <c r="W20" s="8">
        <f>'June 2025 YTD'!S19</f>
        <v>0</v>
      </c>
      <c r="X20" s="8">
        <f>'June 2025 YTD'!T19</f>
        <v>0</v>
      </c>
      <c r="Y20" s="8">
        <f>'June 2025 YTD'!U19</f>
        <v>0</v>
      </c>
      <c r="Z20" s="8">
        <f>'June 2025 YTD'!V19</f>
        <v>0</v>
      </c>
      <c r="AA20" s="8">
        <f>'June 2025 YTD'!W19</f>
        <v>0</v>
      </c>
      <c r="AB20" s="8">
        <f>'June 2025 YTD'!X19</f>
        <v>0</v>
      </c>
      <c r="AC20" s="8">
        <f>'June 2025 YTD'!Y19</f>
        <v>0</v>
      </c>
      <c r="AD20" s="8">
        <f>'June 2025 YTD'!Z19</f>
        <v>0</v>
      </c>
      <c r="AE20" s="8">
        <f>'June 2025 YTD'!AA19</f>
        <v>0</v>
      </c>
      <c r="AF20" s="8">
        <f>'June 2025 YTD'!AB19</f>
        <v>0</v>
      </c>
      <c r="AG20" s="8">
        <f>'June 2025 YTD'!AC19</f>
        <v>0</v>
      </c>
      <c r="AH20" s="8">
        <f>'June 2025 YTD'!AD19</f>
        <v>0</v>
      </c>
      <c r="AI20" s="8">
        <f>'June 2025 YTD'!AE19</f>
        <v>0</v>
      </c>
      <c r="AJ20" s="8">
        <f>'June 2025 YTD'!AF19</f>
        <v>0</v>
      </c>
      <c r="AK20" s="8">
        <f>'June 2025 YTD'!AG19</f>
        <v>0</v>
      </c>
      <c r="AL20" s="8">
        <f>'June 2025 YTD'!AH19</f>
        <v>0</v>
      </c>
      <c r="AM20" s="8">
        <f>'June 2025 YTD'!AI19</f>
        <v>0</v>
      </c>
      <c r="AN20" s="8">
        <f>'June 2025 YTD'!AJ19</f>
        <v>0</v>
      </c>
      <c r="AO20" s="8">
        <v>10000</v>
      </c>
      <c r="AP20" s="8">
        <f>57392.45/9*12</f>
        <v>76523.266666666663</v>
      </c>
      <c r="AQ20" s="8">
        <f>'June 2025 YTD'!AM19</f>
        <v>0</v>
      </c>
      <c r="AR20" s="8">
        <v>17000</v>
      </c>
      <c r="AS20" s="8">
        <f>'June 2025 YTD'!AO19</f>
        <v>0</v>
      </c>
      <c r="AT20" s="8">
        <f>'June 2025 YTD'!AP19</f>
        <v>0</v>
      </c>
      <c r="AU20" s="8">
        <v>100000</v>
      </c>
      <c r="AV20" s="8">
        <f>'June 2024 YTD'!AR19*2</f>
        <v>0</v>
      </c>
      <c r="AW20" s="364"/>
      <c r="AX20" s="8">
        <f t="shared" ref="AX20:AX22" si="8">SUM(AY20:BL20)</f>
        <v>0</v>
      </c>
      <c r="AY20" s="8">
        <f>'June 2024 YTD'!BI19*2</f>
        <v>0</v>
      </c>
      <c r="AZ20" s="8">
        <f>'June 2024 YTD'!BJ19*2</f>
        <v>0</v>
      </c>
      <c r="BA20" s="8">
        <f>'June 2024 YTD'!BK19*2</f>
        <v>0</v>
      </c>
      <c r="BB20" s="8">
        <f>'June 2024 YTD'!BL19*2</f>
        <v>0</v>
      </c>
      <c r="BC20" s="8">
        <f>'June 2024 YTD'!BM19*2</f>
        <v>0</v>
      </c>
      <c r="BD20" s="8">
        <f>'June 2024 YTD'!BN19*2</f>
        <v>0</v>
      </c>
      <c r="BE20" s="8">
        <f>'June 2024 YTD'!BO19*2</f>
        <v>0</v>
      </c>
      <c r="BF20" s="8">
        <f>'June 2024 YTD'!BP19*2</f>
        <v>0</v>
      </c>
      <c r="BG20" s="8">
        <f>'June 2024 YTD'!BQ19*2</f>
        <v>0</v>
      </c>
      <c r="BH20" s="8">
        <f>'June 2024 YTD'!BR19*2</f>
        <v>0</v>
      </c>
      <c r="BI20" s="8">
        <f>'June 2024 YTD'!BS19*2</f>
        <v>0</v>
      </c>
      <c r="BJ20" s="8">
        <f>'June 2024 YTD'!BT19*2</f>
        <v>0</v>
      </c>
      <c r="BK20" s="8">
        <f>'June 2024 YTD'!BU19*2</f>
        <v>0</v>
      </c>
      <c r="BL20" s="8">
        <f>'June 2024 YTD'!BV19*2</f>
        <v>0</v>
      </c>
      <c r="BM20" s="8">
        <f>SUM(B20:BL20)</f>
        <v>903611.34999999986</v>
      </c>
      <c r="BS20" s="8" t="e">
        <f>SUM(B20:BL20)-#REF!-AV20-AP20-SUM(AY20:BL20)</f>
        <v>#REF!</v>
      </c>
      <c r="BT20" t="s">
        <v>96</v>
      </c>
    </row>
    <row r="21" spans="1:72">
      <c r="A21" s="7" t="s">
        <v>97</v>
      </c>
      <c r="B21" s="346">
        <f>SUM(G21:AV21)</f>
        <v>50000</v>
      </c>
      <c r="C21" s="375">
        <f t="shared" ref="C21:C22" si="9">SUM(E21:AV21)</f>
        <v>50000</v>
      </c>
      <c r="D21" s="375">
        <v>3000</v>
      </c>
      <c r="E21" s="8">
        <v>0</v>
      </c>
      <c r="F21" s="8">
        <v>0</v>
      </c>
      <c r="G21" s="8">
        <f>'June 2025 YTD'!C20</f>
        <v>0</v>
      </c>
      <c r="H21" s="8">
        <f>'June 2025 YTD'!D20</f>
        <v>0</v>
      </c>
      <c r="I21" s="8">
        <f>'June 2025 YTD'!E20</f>
        <v>0</v>
      </c>
      <c r="J21" s="8">
        <f>'June 2025 YTD'!F20</f>
        <v>0</v>
      </c>
      <c r="K21" s="8">
        <f>'June 2025 YTD'!G20</f>
        <v>0</v>
      </c>
      <c r="L21" s="8">
        <f>'June 2025 YTD'!H20</f>
        <v>0</v>
      </c>
      <c r="M21" s="8">
        <f>'June 2025 YTD'!I20</f>
        <v>0</v>
      </c>
      <c r="N21" s="8">
        <f>'June 2025 YTD'!J20</f>
        <v>0</v>
      </c>
      <c r="O21" s="8">
        <f>'June 2025 YTD'!K20</f>
        <v>0</v>
      </c>
      <c r="P21" s="8">
        <f>'June 2025 YTD'!L20</f>
        <v>0</v>
      </c>
      <c r="Q21" s="8">
        <f>'June 2025 YTD'!M20</f>
        <v>0</v>
      </c>
      <c r="R21" s="8">
        <f>'June 2025 YTD'!N20</f>
        <v>0</v>
      </c>
      <c r="S21" s="8">
        <f>'June 2025 YTD'!O20</f>
        <v>0</v>
      </c>
      <c r="T21" s="8">
        <f>'June 2025 YTD'!P20</f>
        <v>0</v>
      </c>
      <c r="U21" s="8">
        <f>'June 2025 YTD'!Q20</f>
        <v>0</v>
      </c>
      <c r="V21" s="8">
        <f>'June 2025 YTD'!R20</f>
        <v>0</v>
      </c>
      <c r="W21" s="8">
        <f>'June 2025 YTD'!S20</f>
        <v>0</v>
      </c>
      <c r="X21" s="8">
        <f>'June 2025 YTD'!T20</f>
        <v>0</v>
      </c>
      <c r="Y21" s="8">
        <f>'June 2025 YTD'!U20</f>
        <v>0</v>
      </c>
      <c r="Z21" s="8">
        <f>'June 2025 YTD'!V20</f>
        <v>0</v>
      </c>
      <c r="AA21" s="8">
        <f>'June 2025 YTD'!W20</f>
        <v>0</v>
      </c>
      <c r="AB21" s="8">
        <f>'June 2025 YTD'!X20</f>
        <v>0</v>
      </c>
      <c r="AC21" s="8">
        <f>'June 2025 YTD'!Y20</f>
        <v>0</v>
      </c>
      <c r="AD21" s="8">
        <f>'June 2025 YTD'!Z20</f>
        <v>0</v>
      </c>
      <c r="AE21" s="8">
        <f>'June 2025 YTD'!AA20</f>
        <v>0</v>
      </c>
      <c r="AF21" s="8">
        <f>'June 2025 YTD'!AB20</f>
        <v>0</v>
      </c>
      <c r="AG21" s="8">
        <f>'June 2025 YTD'!AC20</f>
        <v>0</v>
      </c>
      <c r="AH21" s="8">
        <f>'June 2025 YTD'!AD20</f>
        <v>0</v>
      </c>
      <c r="AI21" s="8">
        <f>'June 2025 YTD'!AE20</f>
        <v>0</v>
      </c>
      <c r="AJ21" s="8">
        <f>'June 2025 YTD'!AF20</f>
        <v>0</v>
      </c>
      <c r="AK21" s="8">
        <f>'June 2025 YTD'!AG20</f>
        <v>0</v>
      </c>
      <c r="AL21" s="8">
        <f>'June 2025 YTD'!AH20</f>
        <v>0</v>
      </c>
      <c r="AM21" s="8">
        <f>'June 2025 YTD'!AI20</f>
        <v>0</v>
      </c>
      <c r="AN21" s="8">
        <f>'June 2025 YTD'!AJ20</f>
        <v>0</v>
      </c>
      <c r="AO21" s="8">
        <f>'June 2024 YTD'!AL20*2</f>
        <v>0</v>
      </c>
      <c r="AP21" s="8">
        <v>0</v>
      </c>
      <c r="AQ21" s="8">
        <f>'June 2025 YTD'!AM20</f>
        <v>0</v>
      </c>
      <c r="AR21" s="8">
        <f>'June 2024 YTD'!AN20*2</f>
        <v>0</v>
      </c>
      <c r="AS21" s="8">
        <f>'June 2025 YTD'!AO20</f>
        <v>0</v>
      </c>
      <c r="AT21" s="8">
        <f>'June 2025 YTD'!AP20</f>
        <v>0</v>
      </c>
      <c r="AU21" s="8">
        <v>50000</v>
      </c>
      <c r="AV21" s="8">
        <f>'June 2024 YTD'!AR20*2</f>
        <v>0</v>
      </c>
      <c r="AW21" s="364"/>
      <c r="AX21" s="8">
        <f t="shared" si="8"/>
        <v>0</v>
      </c>
      <c r="AY21" s="8">
        <f>'June 2024 YTD'!BI20*2</f>
        <v>0</v>
      </c>
      <c r="AZ21" s="8">
        <f>'June 2024 YTD'!BJ20*2</f>
        <v>0</v>
      </c>
      <c r="BA21" s="8">
        <f>'June 2024 YTD'!BK20*2</f>
        <v>0</v>
      </c>
      <c r="BB21" s="8">
        <f>'June 2024 YTD'!BL20*2</f>
        <v>0</v>
      </c>
      <c r="BC21" s="8">
        <f>'June 2024 YTD'!BM20*2</f>
        <v>0</v>
      </c>
      <c r="BD21" s="8">
        <f>'June 2024 YTD'!BN20*2</f>
        <v>0</v>
      </c>
      <c r="BE21" s="8">
        <f>'June 2024 YTD'!BO20*2</f>
        <v>0</v>
      </c>
      <c r="BF21" s="8">
        <f>'June 2024 YTD'!BP20*2</f>
        <v>0</v>
      </c>
      <c r="BG21" s="8">
        <f>'June 2024 YTD'!BQ20*2</f>
        <v>0</v>
      </c>
      <c r="BH21" s="8">
        <f>'June 2024 YTD'!BR20*2</f>
        <v>0</v>
      </c>
      <c r="BI21" s="8">
        <f>'June 2024 YTD'!BS20*2</f>
        <v>0</v>
      </c>
      <c r="BJ21" s="8">
        <f>'June 2024 YTD'!BT20*2</f>
        <v>0</v>
      </c>
      <c r="BK21" s="8">
        <f>'June 2024 YTD'!BU20*2</f>
        <v>0</v>
      </c>
      <c r="BL21" s="8">
        <f>'June 2024 YTD'!BV20*2</f>
        <v>0</v>
      </c>
      <c r="BM21" s="8">
        <f>SUM(B21:BL21)</f>
        <v>153000</v>
      </c>
      <c r="BS21" s="8" t="e">
        <f>SUM(B21:BL21)-#REF!-AV21-AP21-SUM(AY21:BL21)</f>
        <v>#REF!</v>
      </c>
      <c r="BT21" t="s">
        <v>97</v>
      </c>
    </row>
    <row r="22" spans="1:72">
      <c r="A22" s="7" t="s">
        <v>98</v>
      </c>
      <c r="B22" s="346">
        <f>SUM(G22:AV22)</f>
        <v>150000</v>
      </c>
      <c r="C22" s="375">
        <f t="shared" si="9"/>
        <v>150000</v>
      </c>
      <c r="D22" s="375">
        <v>150000</v>
      </c>
      <c r="E22" s="8">
        <v>0</v>
      </c>
      <c r="F22" s="8">
        <v>0</v>
      </c>
      <c r="G22" s="8">
        <f>'June 2025 YTD'!C21</f>
        <v>0</v>
      </c>
      <c r="H22" s="8">
        <f>'June 2025 YTD'!D21</f>
        <v>0</v>
      </c>
      <c r="I22" s="8">
        <f>'June 2025 YTD'!E21</f>
        <v>0</v>
      </c>
      <c r="J22" s="8">
        <f>'June 2025 YTD'!F21</f>
        <v>0</v>
      </c>
      <c r="K22" s="8">
        <f>'June 2025 YTD'!G21</f>
        <v>0</v>
      </c>
      <c r="L22" s="8">
        <f>'June 2025 YTD'!H21</f>
        <v>0</v>
      </c>
      <c r="M22" s="8">
        <f>'June 2025 YTD'!I21</f>
        <v>0</v>
      </c>
      <c r="N22" s="8">
        <f>'June 2025 YTD'!J21</f>
        <v>0</v>
      </c>
      <c r="O22" s="8">
        <f>'June 2025 YTD'!K21</f>
        <v>0</v>
      </c>
      <c r="P22" s="8">
        <f>'June 2025 YTD'!L21</f>
        <v>0</v>
      </c>
      <c r="Q22" s="8">
        <f>'June 2025 YTD'!M21</f>
        <v>0</v>
      </c>
      <c r="R22" s="8">
        <f>'June 2025 YTD'!N21</f>
        <v>0</v>
      </c>
      <c r="S22" s="8">
        <f>'June 2025 YTD'!O21</f>
        <v>0</v>
      </c>
      <c r="T22" s="8">
        <f>'June 2025 YTD'!P21</f>
        <v>0</v>
      </c>
      <c r="U22" s="8">
        <f>'June 2025 YTD'!Q21</f>
        <v>0</v>
      </c>
      <c r="V22" s="8">
        <f>'June 2025 YTD'!R21</f>
        <v>0</v>
      </c>
      <c r="W22" s="8">
        <f>'June 2025 YTD'!S21</f>
        <v>0</v>
      </c>
      <c r="X22" s="8">
        <f>'June 2025 YTD'!T21</f>
        <v>0</v>
      </c>
      <c r="Y22" s="8">
        <f>'June 2025 YTD'!U21</f>
        <v>0</v>
      </c>
      <c r="Z22" s="8">
        <f>'June 2025 YTD'!V21</f>
        <v>0</v>
      </c>
      <c r="AA22" s="8">
        <f>'June 2025 YTD'!W21</f>
        <v>0</v>
      </c>
      <c r="AB22" s="8">
        <f>'June 2025 YTD'!X21</f>
        <v>0</v>
      </c>
      <c r="AC22" s="8">
        <f>'June 2025 YTD'!Y21</f>
        <v>0</v>
      </c>
      <c r="AD22" s="8">
        <f>'June 2025 YTD'!Z21</f>
        <v>0</v>
      </c>
      <c r="AE22" s="8">
        <f>'June 2025 YTD'!AA21</f>
        <v>0</v>
      </c>
      <c r="AF22" s="8">
        <f>'June 2025 YTD'!AB21</f>
        <v>0</v>
      </c>
      <c r="AG22" s="8">
        <f>'June 2025 YTD'!AC21</f>
        <v>0</v>
      </c>
      <c r="AH22" s="8">
        <f>'June 2025 YTD'!AD21</f>
        <v>0</v>
      </c>
      <c r="AI22" s="8">
        <f>'June 2025 YTD'!AE21</f>
        <v>0</v>
      </c>
      <c r="AJ22" s="8">
        <f>'June 2025 YTD'!AF21</f>
        <v>0</v>
      </c>
      <c r="AK22" s="8">
        <f>'June 2025 YTD'!AG21</f>
        <v>0</v>
      </c>
      <c r="AL22" s="8">
        <f>'June 2025 YTD'!AH21</f>
        <v>0</v>
      </c>
      <c r="AM22" s="8">
        <f>'June 2025 YTD'!AI21</f>
        <v>0</v>
      </c>
      <c r="AN22" s="8">
        <f>'June 2025 YTD'!AJ21</f>
        <v>0</v>
      </c>
      <c r="AO22" s="8">
        <f>'June 2024 YTD'!AL21*2</f>
        <v>0</v>
      </c>
      <c r="AP22" s="8">
        <f>'June 2025 YTD'!AL21</f>
        <v>0</v>
      </c>
      <c r="AQ22" s="8">
        <f>'June 2025 YTD'!AM21</f>
        <v>0</v>
      </c>
      <c r="AR22" s="8">
        <f>'June 2024 YTD'!AN21*2</f>
        <v>0</v>
      </c>
      <c r="AS22" s="8">
        <f>'June 2025 YTD'!AO21</f>
        <v>0</v>
      </c>
      <c r="AT22" s="8">
        <f>'June 2025 YTD'!AP21</f>
        <v>0</v>
      </c>
      <c r="AU22" s="8">
        <v>150000</v>
      </c>
      <c r="AV22" s="8">
        <f>'June 2024 YTD'!AR21*2</f>
        <v>0</v>
      </c>
      <c r="AW22" s="364"/>
      <c r="AX22" s="8">
        <f t="shared" si="8"/>
        <v>0</v>
      </c>
      <c r="AY22" s="8">
        <f>'June 2024 YTD'!BI21*2</f>
        <v>0</v>
      </c>
      <c r="AZ22" s="8">
        <f>'June 2024 YTD'!BJ21*2</f>
        <v>0</v>
      </c>
      <c r="BA22" s="8">
        <f>'June 2024 YTD'!BK21*2</f>
        <v>0</v>
      </c>
      <c r="BB22" s="8">
        <f>'June 2024 YTD'!BL21*2</f>
        <v>0</v>
      </c>
      <c r="BC22" s="8">
        <f>'June 2024 YTD'!BM21*2</f>
        <v>0</v>
      </c>
      <c r="BD22" s="8">
        <f>'June 2024 YTD'!BN21*2</f>
        <v>0</v>
      </c>
      <c r="BE22" s="8">
        <f>'June 2024 YTD'!BO21*2</f>
        <v>0</v>
      </c>
      <c r="BF22" s="8">
        <f>'June 2024 YTD'!BP21*2</f>
        <v>0</v>
      </c>
      <c r="BG22" s="8">
        <f>'June 2024 YTD'!BQ21*2</f>
        <v>0</v>
      </c>
      <c r="BH22" s="8">
        <f>'June 2024 YTD'!BR21*2</f>
        <v>0</v>
      </c>
      <c r="BI22" s="8">
        <f>'June 2024 YTD'!BS21*2</f>
        <v>0</v>
      </c>
      <c r="BJ22" s="8">
        <f>'June 2024 YTD'!BT21*2</f>
        <v>0</v>
      </c>
      <c r="BK22" s="8">
        <f>'June 2024 YTD'!BU21*2</f>
        <v>0</v>
      </c>
      <c r="BL22" s="8">
        <f>'June 2024 YTD'!BV21*2</f>
        <v>0</v>
      </c>
      <c r="BM22" s="8">
        <f>SUM(B22:BL22)</f>
        <v>600000</v>
      </c>
      <c r="BS22" s="8" t="e">
        <f>SUM(B22:BL22)-#REF!-AV22-AP22-SUM(AY22:BL22)</f>
        <v>#REF!</v>
      </c>
      <c r="BT22" t="s">
        <v>98</v>
      </c>
    </row>
    <row r="23" spans="1:72">
      <c r="A23" s="9" t="s">
        <v>99</v>
      </c>
      <c r="B23" s="287">
        <f t="shared" ref="B23:BC23" si="10">SUM(B20:B22)</f>
        <v>405843.26666666666</v>
      </c>
      <c r="C23" s="377">
        <f t="shared" si="10"/>
        <v>405843.26666666666</v>
      </c>
      <c r="D23" s="378">
        <f>SUM(D20:D22)</f>
        <v>439081.55</v>
      </c>
      <c r="E23" s="10">
        <f>SUM(E20:E22)</f>
        <v>0</v>
      </c>
      <c r="F23" s="10">
        <f>SUM(F20:F22)</f>
        <v>0</v>
      </c>
      <c r="G23" s="10">
        <f t="shared" si="10"/>
        <v>0</v>
      </c>
      <c r="H23" s="10">
        <f t="shared" si="10"/>
        <v>0</v>
      </c>
      <c r="I23" s="10">
        <f t="shared" si="10"/>
        <v>2320</v>
      </c>
      <c r="J23" s="10">
        <f t="shared" si="10"/>
        <v>0</v>
      </c>
      <c r="K23" s="10">
        <f t="shared" si="10"/>
        <v>0</v>
      </c>
      <c r="L23" s="10">
        <f t="shared" si="10"/>
        <v>0</v>
      </c>
      <c r="M23" s="10">
        <f t="shared" si="10"/>
        <v>0</v>
      </c>
      <c r="N23" s="10">
        <f t="shared" si="10"/>
        <v>0</v>
      </c>
      <c r="O23" s="10">
        <f t="shared" si="10"/>
        <v>0</v>
      </c>
      <c r="P23" s="10">
        <f t="shared" si="10"/>
        <v>0</v>
      </c>
      <c r="Q23" s="10">
        <f t="shared" si="10"/>
        <v>0</v>
      </c>
      <c r="R23" s="10">
        <f t="shared" si="10"/>
        <v>0</v>
      </c>
      <c r="S23" s="10">
        <f t="shared" si="10"/>
        <v>0</v>
      </c>
      <c r="T23" s="10">
        <f t="shared" ref="T23" si="11">SUM(T20:T22)</f>
        <v>0</v>
      </c>
      <c r="U23" s="10">
        <f t="shared" si="10"/>
        <v>0</v>
      </c>
      <c r="V23" s="10">
        <f t="shared" si="10"/>
        <v>0</v>
      </c>
      <c r="W23" s="10">
        <f t="shared" si="10"/>
        <v>0</v>
      </c>
      <c r="X23" s="10">
        <f t="shared" si="10"/>
        <v>0</v>
      </c>
      <c r="Y23" s="10">
        <f t="shared" si="10"/>
        <v>0</v>
      </c>
      <c r="Z23" s="10">
        <f t="shared" si="10"/>
        <v>0</v>
      </c>
      <c r="AA23" s="10">
        <f t="shared" si="10"/>
        <v>0</v>
      </c>
      <c r="AB23" s="10">
        <f t="shared" si="10"/>
        <v>0</v>
      </c>
      <c r="AC23" s="10">
        <f t="shared" ref="AC23:AD23" si="12">SUM(AC20:AC22)</f>
        <v>0</v>
      </c>
      <c r="AD23" s="10">
        <f t="shared" si="12"/>
        <v>0</v>
      </c>
      <c r="AE23" s="10">
        <f t="shared" si="10"/>
        <v>0</v>
      </c>
      <c r="AF23" s="10">
        <f t="shared" si="10"/>
        <v>0</v>
      </c>
      <c r="AG23" s="10">
        <f t="shared" ref="AG23:AH23" si="13">SUM(AG20:AG22)</f>
        <v>0</v>
      </c>
      <c r="AH23" s="10">
        <f t="shared" si="13"/>
        <v>0</v>
      </c>
      <c r="AI23" s="10">
        <f t="shared" ref="AI23" si="14">SUM(AI20:AI22)</f>
        <v>0</v>
      </c>
      <c r="AJ23" s="10">
        <f t="shared" ref="AJ23:AO23" si="15">SUM(AJ20:AJ22)</f>
        <v>0</v>
      </c>
      <c r="AK23" s="10">
        <f t="shared" si="15"/>
        <v>0</v>
      </c>
      <c r="AL23" s="10">
        <f t="shared" si="15"/>
        <v>0</v>
      </c>
      <c r="AM23" s="10">
        <f t="shared" si="15"/>
        <v>0</v>
      </c>
      <c r="AN23" s="10">
        <f t="shared" si="15"/>
        <v>0</v>
      </c>
      <c r="AO23" s="10">
        <f t="shared" si="15"/>
        <v>10000</v>
      </c>
      <c r="AP23" s="10">
        <f t="shared" si="10"/>
        <v>76523.266666666663</v>
      </c>
      <c r="AQ23" s="10">
        <f t="shared" si="10"/>
        <v>0</v>
      </c>
      <c r="AR23" s="10">
        <f t="shared" si="10"/>
        <v>17000</v>
      </c>
      <c r="AS23" s="10">
        <f t="shared" si="10"/>
        <v>0</v>
      </c>
      <c r="AT23" s="10">
        <f t="shared" si="10"/>
        <v>0</v>
      </c>
      <c r="AU23" s="10">
        <f t="shared" si="10"/>
        <v>300000</v>
      </c>
      <c r="AV23" s="10">
        <f t="shared" si="10"/>
        <v>0</v>
      </c>
      <c r="AW23" s="365"/>
      <c r="AX23" s="10">
        <f>SUM(AX20:AX22)</f>
        <v>0</v>
      </c>
      <c r="AY23" s="10">
        <f t="shared" si="10"/>
        <v>0</v>
      </c>
      <c r="AZ23" s="10">
        <f t="shared" si="10"/>
        <v>0</v>
      </c>
      <c r="BA23" s="10">
        <f t="shared" si="10"/>
        <v>0</v>
      </c>
      <c r="BB23" s="10">
        <f t="shared" si="10"/>
        <v>0</v>
      </c>
      <c r="BC23" s="10">
        <f t="shared" si="10"/>
        <v>0</v>
      </c>
      <c r="BD23" s="10">
        <f t="shared" ref="BD23:BM23" si="16">SUM(BD20:BD22)</f>
        <v>0</v>
      </c>
      <c r="BE23" s="10">
        <f t="shared" si="16"/>
        <v>0</v>
      </c>
      <c r="BF23" s="10">
        <f t="shared" si="16"/>
        <v>0</v>
      </c>
      <c r="BG23" s="10">
        <f t="shared" si="16"/>
        <v>0</v>
      </c>
      <c r="BH23" s="10">
        <f t="shared" si="16"/>
        <v>0</v>
      </c>
      <c r="BI23" s="10">
        <f t="shared" si="16"/>
        <v>0</v>
      </c>
      <c r="BJ23" s="10">
        <f t="shared" si="16"/>
        <v>0</v>
      </c>
      <c r="BK23" s="10">
        <f t="shared" si="16"/>
        <v>0</v>
      </c>
      <c r="BL23" s="10">
        <f t="shared" si="16"/>
        <v>0</v>
      </c>
      <c r="BM23" s="10">
        <f t="shared" si="16"/>
        <v>1656611.3499999999</v>
      </c>
      <c r="BS23" s="10" t="e">
        <f t="shared" ref="BS23" si="17">SUM(BS20:BS22)</f>
        <v>#REF!</v>
      </c>
      <c r="BT23" t="s">
        <v>99</v>
      </c>
    </row>
    <row r="24" spans="1:72">
      <c r="A24" s="11" t="s">
        <v>100</v>
      </c>
      <c r="B24" s="346">
        <f>SUM(G24:AV24)</f>
        <v>415766.22222222225</v>
      </c>
      <c r="C24" s="375">
        <f>SUM(E24:AV24)</f>
        <v>2915766.2222222215</v>
      </c>
      <c r="D24" s="375">
        <v>440915.11</v>
      </c>
      <c r="E24" s="8">
        <v>2500000</v>
      </c>
      <c r="F24" s="8">
        <v>0</v>
      </c>
      <c r="G24" s="8">
        <f>G18/0.9*0.1</f>
        <v>102197.55555555556</v>
      </c>
      <c r="H24" s="8">
        <f>H18/0.9*0.1</f>
        <v>64525.555555555555</v>
      </c>
      <c r="I24" s="8">
        <f t="shared" ref="I24:N24" si="18">I18/0.9*0.1</f>
        <v>12501.777777777779</v>
      </c>
      <c r="J24" s="8">
        <f t="shared" si="18"/>
        <v>15907.222222222223</v>
      </c>
      <c r="K24" s="8">
        <f t="shared" si="18"/>
        <v>7258.5555555555547</v>
      </c>
      <c r="L24" s="8">
        <f t="shared" si="18"/>
        <v>19513.666666666668</v>
      </c>
      <c r="M24" s="8">
        <f t="shared" si="18"/>
        <v>31422.222222222219</v>
      </c>
      <c r="N24" s="8">
        <f t="shared" si="18"/>
        <v>82767.222222222234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1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f t="shared" ref="AC24:AF24" si="19">AC18/0.9*0.1</f>
        <v>4333.3333333333339</v>
      </c>
      <c r="AD24" s="8">
        <f t="shared" si="19"/>
        <v>1666.666666666667</v>
      </c>
      <c r="AE24" s="8">
        <f t="shared" si="19"/>
        <v>1333.3333333333333</v>
      </c>
      <c r="AF24" s="8">
        <f t="shared" si="19"/>
        <v>555.55555555555554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f t="shared" ref="AQ24:AU24" si="20">AQ18/0.9*0.1</f>
        <v>942.77777777777783</v>
      </c>
      <c r="AR24" s="8">
        <f t="shared" si="20"/>
        <v>30531.111111111113</v>
      </c>
      <c r="AS24" s="8">
        <v>0</v>
      </c>
      <c r="AT24" s="8">
        <f t="shared" si="20"/>
        <v>40308.666666666664</v>
      </c>
      <c r="AU24" s="8">
        <f t="shared" si="20"/>
        <v>0</v>
      </c>
      <c r="AV24" s="8">
        <v>0</v>
      </c>
      <c r="AW24" s="364"/>
      <c r="AX24" s="8">
        <f>SUM(AY24:BL24)</f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f>SUM(B24:BL24)</f>
        <v>6688213.7766666673</v>
      </c>
      <c r="BS24" s="8" t="e">
        <f>SUM(B24:BL24)-#REF!-AV24-AP24-SUM(AY24:BL24)</f>
        <v>#REF!</v>
      </c>
      <c r="BT24" t="s">
        <v>100</v>
      </c>
    </row>
    <row r="25" spans="1:72">
      <c r="A25" s="6" t="s">
        <v>101</v>
      </c>
      <c r="B25" s="351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367"/>
      <c r="AX25" s="363">
        <f>SUM(AX24)</f>
        <v>0</v>
      </c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4"/>
      <c r="BS25" s="4"/>
      <c r="BT25" t="s">
        <v>101</v>
      </c>
    </row>
    <row r="26" spans="1:72">
      <c r="A26" s="7" t="s">
        <v>103</v>
      </c>
      <c r="B26" s="346">
        <f>SUM(G26:AV26)</f>
        <v>102000</v>
      </c>
      <c r="C26" s="375">
        <f>SUM(E26:AV26)</f>
        <v>102000</v>
      </c>
      <c r="D26" s="375">
        <v>90000</v>
      </c>
      <c r="E26" s="8">
        <v>0</v>
      </c>
      <c r="F26" s="8">
        <v>0</v>
      </c>
      <c r="G26" s="8">
        <f>'June 2025 YTD'!C25*2</f>
        <v>0</v>
      </c>
      <c r="H26" s="8">
        <f>'June 2025 YTD'!D25*2</f>
        <v>0</v>
      </c>
      <c r="I26" s="8">
        <f>'June 2025 YTD'!E25*2</f>
        <v>0</v>
      </c>
      <c r="J26" s="8">
        <f>'June 2025 YTD'!F25*2</f>
        <v>0</v>
      </c>
      <c r="K26" s="8">
        <f>'June 2025 YTD'!G25*2</f>
        <v>0</v>
      </c>
      <c r="L26" s="8">
        <f>'June 2025 YTD'!H25*2</f>
        <v>0</v>
      </c>
      <c r="M26" s="8">
        <f>'June 2025 YTD'!I25*2</f>
        <v>0</v>
      </c>
      <c r="N26" s="8">
        <f>'June 2025 YTD'!J25*2</f>
        <v>0</v>
      </c>
      <c r="O26" s="8">
        <f>'June 2025 YTD'!K25*2</f>
        <v>0</v>
      </c>
      <c r="P26" s="8">
        <f>'June 2025 YTD'!L25*2</f>
        <v>0</v>
      </c>
      <c r="Q26" s="8">
        <f>'June 2025 YTD'!M25*2</f>
        <v>0</v>
      </c>
      <c r="R26" s="8">
        <f>'June 2025 YTD'!N25*2</f>
        <v>0</v>
      </c>
      <c r="S26" s="8">
        <f>'June 2025 YTD'!O25*2</f>
        <v>0</v>
      </c>
      <c r="T26" s="8">
        <f>'June 2025 YTD'!P25*2</f>
        <v>0</v>
      </c>
      <c r="U26" s="8">
        <f>'June 2025 YTD'!Q25*2</f>
        <v>0</v>
      </c>
      <c r="V26" s="8">
        <f>'June 2025 YTD'!R25*2</f>
        <v>0</v>
      </c>
      <c r="W26" s="8">
        <f>'June 2025 YTD'!S25*2</f>
        <v>0</v>
      </c>
      <c r="X26" s="8">
        <f>'June 2025 YTD'!T25*2</f>
        <v>0</v>
      </c>
      <c r="Y26" s="8">
        <f>'June 2025 YTD'!U25*2</f>
        <v>0</v>
      </c>
      <c r="Z26" s="8">
        <f>'June 2025 YTD'!V25*2</f>
        <v>0</v>
      </c>
      <c r="AA26" s="8">
        <f>'June 2025 YTD'!W25*2</f>
        <v>0</v>
      </c>
      <c r="AB26" s="8">
        <f>'June 2025 YTD'!X25*2</f>
        <v>0</v>
      </c>
      <c r="AC26" s="8">
        <f>'June 2025 YTD'!Y25*2</f>
        <v>0</v>
      </c>
      <c r="AD26" s="8">
        <f>'June 2025 YTD'!Z25*2</f>
        <v>0</v>
      </c>
      <c r="AE26" s="8">
        <f>'June 2025 YTD'!AA25*2</f>
        <v>0</v>
      </c>
      <c r="AF26" s="8">
        <f>'June 2025 YTD'!AB25*2</f>
        <v>0</v>
      </c>
      <c r="AG26" s="8">
        <f>'June 2025 YTD'!AC25*2</f>
        <v>0</v>
      </c>
      <c r="AH26" s="8">
        <f>'June 2025 YTD'!AD25*2</f>
        <v>0</v>
      </c>
      <c r="AI26" s="8">
        <f>'June 2025 YTD'!AE25*2</f>
        <v>0</v>
      </c>
      <c r="AJ26" s="8">
        <f>'June 2025 YTD'!AF25*2</f>
        <v>0</v>
      </c>
      <c r="AK26" s="8">
        <f>'June 2025 YTD'!AG25*2</f>
        <v>0</v>
      </c>
      <c r="AL26" s="8">
        <f>'June 2025 YTD'!AH25*2</f>
        <v>0</v>
      </c>
      <c r="AM26" s="8">
        <f>'June 2025 YTD'!AI25*2</f>
        <v>0</v>
      </c>
      <c r="AN26" s="8">
        <f>'June 2025 YTD'!AJ25*2</f>
        <v>0</v>
      </c>
      <c r="AO26" s="8">
        <f>'June 2025 YTD'!AK25*2</f>
        <v>0</v>
      </c>
      <c r="AP26" s="8">
        <f>'June 2025 YTD'!AL25*2</f>
        <v>0</v>
      </c>
      <c r="AQ26" s="8">
        <f>'June 2025 YTD'!AM25*2</f>
        <v>0</v>
      </c>
      <c r="AR26" s="8">
        <f>'June 2025 YTD'!AN25*2</f>
        <v>0</v>
      </c>
      <c r="AS26" s="8">
        <f>'June 2025 YTD'!AO25*2</f>
        <v>0</v>
      </c>
      <c r="AT26" s="8">
        <f>'June 2025 YTD'!AP25*2</f>
        <v>0</v>
      </c>
      <c r="AU26" s="8">
        <f>'June 2025 YTD'!AQ25*2</f>
        <v>0</v>
      </c>
      <c r="AV26" s="8">
        <v>102000</v>
      </c>
      <c r="AW26" s="364"/>
      <c r="AX26" s="8">
        <f t="shared" ref="AX26:AX27" si="21">SUM(AY26:BL26)</f>
        <v>0</v>
      </c>
      <c r="AY26" s="8">
        <f>'June 2024 YTD'!BI26*2</f>
        <v>0</v>
      </c>
      <c r="AZ26" s="8">
        <f>'June 2024 YTD'!BJ26*2</f>
        <v>0</v>
      </c>
      <c r="BA26" s="8">
        <f>'June 2024 YTD'!BK26*2</f>
        <v>0</v>
      </c>
      <c r="BB26" s="8">
        <f>'June 2024 YTD'!BL26*2</f>
        <v>0</v>
      </c>
      <c r="BC26" s="8">
        <f>'June 2024 YTD'!BM26*2</f>
        <v>0</v>
      </c>
      <c r="BD26" s="8">
        <f>'June 2024 YTD'!BN26*2</f>
        <v>0</v>
      </c>
      <c r="BE26" s="8">
        <f>'June 2024 YTD'!BO26*2</f>
        <v>0</v>
      </c>
      <c r="BF26" s="8">
        <f>'June 2024 YTD'!BP26*2</f>
        <v>0</v>
      </c>
      <c r="BG26" s="8">
        <f>'June 2024 YTD'!BQ26*2</f>
        <v>0</v>
      </c>
      <c r="BH26" s="8">
        <f>'June 2024 YTD'!BR26*2</f>
        <v>0</v>
      </c>
      <c r="BI26" s="8">
        <f>'June 2024 YTD'!BS26*2</f>
        <v>0</v>
      </c>
      <c r="BJ26" s="8">
        <f>'June 2024 YTD'!BT26*2</f>
        <v>0</v>
      </c>
      <c r="BK26" s="8">
        <f>'June 2024 YTD'!BU26*2</f>
        <v>0</v>
      </c>
      <c r="BL26" s="8">
        <f>'June 2024 YTD'!BV26*2</f>
        <v>0</v>
      </c>
      <c r="BM26" s="8">
        <f>SUM(B26:BL26)</f>
        <v>396000</v>
      </c>
      <c r="BS26" s="8" t="e">
        <f>SUM(B26:BL26)-#REF!-AV26-AP26-SUM(AY26:BL26)</f>
        <v>#REF!</v>
      </c>
      <c r="BT26" t="s">
        <v>103</v>
      </c>
    </row>
    <row r="27" spans="1:72">
      <c r="A27" s="7" t="s">
        <v>104</v>
      </c>
      <c r="B27" s="346">
        <f>SUM(G27:AV27)</f>
        <v>52000</v>
      </c>
      <c r="C27" s="375">
        <f>SUM(E27:AV27)</f>
        <v>52000</v>
      </c>
      <c r="D27" s="375">
        <v>41586.959999999999</v>
      </c>
      <c r="E27" s="8">
        <v>0</v>
      </c>
      <c r="F27" s="8">
        <v>0</v>
      </c>
      <c r="G27" s="8">
        <f>'June 2025 YTD'!C26*2</f>
        <v>0</v>
      </c>
      <c r="H27" s="8">
        <f>'June 2025 YTD'!D26*2</f>
        <v>0</v>
      </c>
      <c r="I27" s="8">
        <f>'June 2025 YTD'!E26*2</f>
        <v>0</v>
      </c>
      <c r="J27" s="8">
        <f>'June 2025 YTD'!F26*2</f>
        <v>0</v>
      </c>
      <c r="K27" s="8">
        <f>'June 2025 YTD'!G26*2</f>
        <v>0</v>
      </c>
      <c r="L27" s="8">
        <f>'June 2025 YTD'!H26*2</f>
        <v>0</v>
      </c>
      <c r="M27" s="8">
        <f>'June 2025 YTD'!I26*2</f>
        <v>0</v>
      </c>
      <c r="N27" s="8">
        <f>'June 2025 YTD'!J26*2</f>
        <v>0</v>
      </c>
      <c r="O27" s="8">
        <f>'June 2025 YTD'!K26*2</f>
        <v>0</v>
      </c>
      <c r="P27" s="8">
        <f>'June 2025 YTD'!L26*2</f>
        <v>0</v>
      </c>
      <c r="Q27" s="8">
        <f>'June 2025 YTD'!M26*2</f>
        <v>0</v>
      </c>
      <c r="R27" s="8">
        <f>'June 2025 YTD'!N26*2</f>
        <v>0</v>
      </c>
      <c r="S27" s="8">
        <f>'June 2025 YTD'!O26*2</f>
        <v>0</v>
      </c>
      <c r="T27" s="8">
        <f>'June 2025 YTD'!P26*2</f>
        <v>0</v>
      </c>
      <c r="U27" s="8">
        <f>'June 2025 YTD'!Q26*2</f>
        <v>0</v>
      </c>
      <c r="V27" s="8">
        <f>'June 2025 YTD'!R26*2</f>
        <v>0</v>
      </c>
      <c r="W27" s="8">
        <f>'June 2025 YTD'!S26*2</f>
        <v>0</v>
      </c>
      <c r="X27" s="8">
        <f>'June 2025 YTD'!T26*2</f>
        <v>0</v>
      </c>
      <c r="Y27" s="8">
        <f>'June 2025 YTD'!U26*2</f>
        <v>0</v>
      </c>
      <c r="Z27" s="8">
        <f>'June 2025 YTD'!V26*2</f>
        <v>0</v>
      </c>
      <c r="AA27" s="8">
        <f>'June 2025 YTD'!W26*2</f>
        <v>0</v>
      </c>
      <c r="AB27" s="8">
        <f>'June 2025 YTD'!X26*2</f>
        <v>0</v>
      </c>
      <c r="AC27" s="8">
        <f>'June 2025 YTD'!Y26*2</f>
        <v>0</v>
      </c>
      <c r="AD27" s="8">
        <f>'June 2025 YTD'!Z26*2</f>
        <v>0</v>
      </c>
      <c r="AE27" s="8">
        <f>'June 2025 YTD'!AA26*2</f>
        <v>0</v>
      </c>
      <c r="AF27" s="8">
        <f>'June 2025 YTD'!AB26*2</f>
        <v>0</v>
      </c>
      <c r="AG27" s="8">
        <f>'June 2025 YTD'!AC26*2</f>
        <v>0</v>
      </c>
      <c r="AH27" s="8">
        <f>'June 2025 YTD'!AD26*2</f>
        <v>0</v>
      </c>
      <c r="AI27" s="8">
        <f>'June 2025 YTD'!AE26*2</f>
        <v>0</v>
      </c>
      <c r="AJ27" s="8">
        <f>'June 2025 YTD'!AF26*2</f>
        <v>0</v>
      </c>
      <c r="AK27" s="8">
        <f>'June 2025 YTD'!AG26*2</f>
        <v>0</v>
      </c>
      <c r="AL27" s="8">
        <f>'June 2025 YTD'!AH26*2</f>
        <v>0</v>
      </c>
      <c r="AM27" s="8">
        <f>'June 2025 YTD'!AI26*2</f>
        <v>0</v>
      </c>
      <c r="AN27" s="8">
        <f>'June 2025 YTD'!AJ26*2</f>
        <v>0</v>
      </c>
      <c r="AO27" s="8">
        <f>'June 2025 YTD'!AK26*2</f>
        <v>0</v>
      </c>
      <c r="AP27" s="8">
        <f>'June 2025 YTD'!AL26*2</f>
        <v>0</v>
      </c>
      <c r="AQ27" s="8">
        <f>'June 2025 YTD'!AM26*2</f>
        <v>0</v>
      </c>
      <c r="AR27" s="8">
        <f>'June 2025 YTD'!AN26*2</f>
        <v>0</v>
      </c>
      <c r="AS27" s="8">
        <f>'June 2025 YTD'!AO26*2</f>
        <v>0</v>
      </c>
      <c r="AT27" s="8">
        <f>'June 2025 YTD'!AP26*2</f>
        <v>0</v>
      </c>
      <c r="AU27" s="8">
        <f>'June 2025 YTD'!AQ26*2</f>
        <v>0</v>
      </c>
      <c r="AV27" s="8">
        <v>52000</v>
      </c>
      <c r="AW27" s="364"/>
      <c r="AX27" s="8">
        <f t="shared" si="21"/>
        <v>0</v>
      </c>
      <c r="AY27" s="8">
        <f>'June 2024 YTD'!BI27*2</f>
        <v>0</v>
      </c>
      <c r="AZ27" s="8">
        <f>'June 2024 YTD'!BJ27*2</f>
        <v>0</v>
      </c>
      <c r="BA27" s="8">
        <f>'June 2024 YTD'!BK27*2</f>
        <v>0</v>
      </c>
      <c r="BB27" s="8">
        <f>'June 2024 YTD'!BL27*2</f>
        <v>0</v>
      </c>
      <c r="BC27" s="8">
        <f>'June 2024 YTD'!BM27*2</f>
        <v>0</v>
      </c>
      <c r="BD27" s="8">
        <f>'June 2024 YTD'!BN27*2</f>
        <v>0</v>
      </c>
      <c r="BE27" s="8">
        <f>'June 2024 YTD'!BO27*2</f>
        <v>0</v>
      </c>
      <c r="BF27" s="8">
        <f>'June 2024 YTD'!BP27*2</f>
        <v>0</v>
      </c>
      <c r="BG27" s="8">
        <f>'June 2024 YTD'!BQ27*2</f>
        <v>0</v>
      </c>
      <c r="BH27" s="8">
        <f>'June 2024 YTD'!BR27*2</f>
        <v>0</v>
      </c>
      <c r="BI27" s="8">
        <f>'June 2024 YTD'!BS27*2</f>
        <v>0</v>
      </c>
      <c r="BJ27" s="8">
        <f>'June 2024 YTD'!BT27*2</f>
        <v>0</v>
      </c>
      <c r="BK27" s="8">
        <f>'June 2024 YTD'!BU27*2</f>
        <v>0</v>
      </c>
      <c r="BL27" s="8">
        <f>'June 2024 YTD'!BV27*2</f>
        <v>0</v>
      </c>
      <c r="BM27" s="8">
        <f>SUM(B27:BL27)</f>
        <v>197586.96</v>
      </c>
      <c r="BS27" s="8" t="e">
        <f>SUM(B27:BL27)-#REF!-AV27-AP27-SUM(AY27:BL27)</f>
        <v>#REF!</v>
      </c>
      <c r="BT27" t="s">
        <v>104</v>
      </c>
    </row>
    <row r="28" spans="1:72">
      <c r="A28" s="9" t="s">
        <v>105</v>
      </c>
      <c r="B28" s="287">
        <f t="shared" ref="B28:AK28" si="22">SUM(B26:B27)</f>
        <v>154000</v>
      </c>
      <c r="C28" s="377">
        <f t="shared" si="22"/>
        <v>154000</v>
      </c>
      <c r="D28" s="378">
        <f>SUM(D26:D27)</f>
        <v>131586.96</v>
      </c>
      <c r="E28" s="10">
        <f t="shared" ref="E28" si="23">SUM(E26:E27)</f>
        <v>0</v>
      </c>
      <c r="F28" s="10">
        <f>SUM(F26:F27)</f>
        <v>0</v>
      </c>
      <c r="G28" s="10">
        <f t="shared" si="22"/>
        <v>0</v>
      </c>
      <c r="H28" s="10">
        <f t="shared" si="22"/>
        <v>0</v>
      </c>
      <c r="I28" s="10">
        <f t="shared" si="22"/>
        <v>0</v>
      </c>
      <c r="J28" s="10">
        <f t="shared" si="22"/>
        <v>0</v>
      </c>
      <c r="K28" s="10">
        <f t="shared" si="22"/>
        <v>0</v>
      </c>
      <c r="L28" s="10">
        <f t="shared" si="22"/>
        <v>0</v>
      </c>
      <c r="M28" s="10">
        <f t="shared" si="22"/>
        <v>0</v>
      </c>
      <c r="N28" s="10">
        <f t="shared" si="22"/>
        <v>0</v>
      </c>
      <c r="O28" s="10">
        <f t="shared" si="22"/>
        <v>0</v>
      </c>
      <c r="P28" s="10">
        <f t="shared" si="22"/>
        <v>0</v>
      </c>
      <c r="Q28" s="10">
        <f t="shared" si="22"/>
        <v>0</v>
      </c>
      <c r="R28" s="10">
        <f t="shared" si="22"/>
        <v>0</v>
      </c>
      <c r="S28" s="10">
        <f t="shared" si="22"/>
        <v>0</v>
      </c>
      <c r="T28" s="10">
        <f t="shared" si="22"/>
        <v>0</v>
      </c>
      <c r="U28" s="10">
        <f t="shared" si="22"/>
        <v>0</v>
      </c>
      <c r="V28" s="10">
        <f t="shared" si="22"/>
        <v>0</v>
      </c>
      <c r="W28" s="10">
        <f t="shared" si="22"/>
        <v>0</v>
      </c>
      <c r="X28" s="10">
        <f t="shared" si="22"/>
        <v>0</v>
      </c>
      <c r="Y28" s="10">
        <f t="shared" si="22"/>
        <v>0</v>
      </c>
      <c r="Z28" s="10">
        <f t="shared" si="22"/>
        <v>0</v>
      </c>
      <c r="AA28" s="10">
        <f t="shared" si="22"/>
        <v>0</v>
      </c>
      <c r="AB28" s="10">
        <f t="shared" si="22"/>
        <v>0</v>
      </c>
      <c r="AC28" s="10">
        <f t="shared" si="22"/>
        <v>0</v>
      </c>
      <c r="AD28" s="10">
        <f t="shared" si="22"/>
        <v>0</v>
      </c>
      <c r="AE28" s="10">
        <f t="shared" si="22"/>
        <v>0</v>
      </c>
      <c r="AF28" s="10">
        <f t="shared" si="22"/>
        <v>0</v>
      </c>
      <c r="AG28" s="10">
        <f t="shared" si="22"/>
        <v>0</v>
      </c>
      <c r="AH28" s="10">
        <f t="shared" si="22"/>
        <v>0</v>
      </c>
      <c r="AI28" s="10">
        <f t="shared" si="22"/>
        <v>0</v>
      </c>
      <c r="AJ28" s="10">
        <f t="shared" si="22"/>
        <v>0</v>
      </c>
      <c r="AK28" s="10">
        <f t="shared" si="22"/>
        <v>0</v>
      </c>
      <c r="AL28" s="10">
        <f t="shared" ref="AL28:BM28" si="24">SUM(AL26:AL27)</f>
        <v>0</v>
      </c>
      <c r="AM28" s="10">
        <f t="shared" si="24"/>
        <v>0</v>
      </c>
      <c r="AN28" s="10">
        <f t="shared" si="24"/>
        <v>0</v>
      </c>
      <c r="AO28" s="10">
        <f t="shared" si="24"/>
        <v>0</v>
      </c>
      <c r="AP28" s="10">
        <f t="shared" si="24"/>
        <v>0</v>
      </c>
      <c r="AQ28" s="10">
        <f t="shared" si="24"/>
        <v>0</v>
      </c>
      <c r="AR28" s="10">
        <f t="shared" si="24"/>
        <v>0</v>
      </c>
      <c r="AS28" s="10">
        <f t="shared" si="24"/>
        <v>0</v>
      </c>
      <c r="AT28" s="10">
        <f t="shared" si="24"/>
        <v>0</v>
      </c>
      <c r="AU28" s="10">
        <f t="shared" si="24"/>
        <v>0</v>
      </c>
      <c r="AV28" s="10">
        <f t="shared" si="24"/>
        <v>154000</v>
      </c>
      <c r="AW28" s="365"/>
      <c r="AX28" s="10">
        <f>SUM(AX26:AX27)</f>
        <v>0</v>
      </c>
      <c r="AY28" s="10">
        <f t="shared" si="24"/>
        <v>0</v>
      </c>
      <c r="AZ28" s="10">
        <f t="shared" si="24"/>
        <v>0</v>
      </c>
      <c r="BA28" s="10">
        <f t="shared" si="24"/>
        <v>0</v>
      </c>
      <c r="BB28" s="10">
        <f t="shared" si="24"/>
        <v>0</v>
      </c>
      <c r="BC28" s="10">
        <f t="shared" si="24"/>
        <v>0</v>
      </c>
      <c r="BD28" s="10">
        <f t="shared" si="24"/>
        <v>0</v>
      </c>
      <c r="BE28" s="10">
        <f t="shared" si="24"/>
        <v>0</v>
      </c>
      <c r="BF28" s="10">
        <f t="shared" si="24"/>
        <v>0</v>
      </c>
      <c r="BG28" s="10">
        <f t="shared" si="24"/>
        <v>0</v>
      </c>
      <c r="BH28" s="10">
        <f t="shared" si="24"/>
        <v>0</v>
      </c>
      <c r="BI28" s="10">
        <f t="shared" si="24"/>
        <v>0</v>
      </c>
      <c r="BJ28" s="10">
        <f t="shared" si="24"/>
        <v>0</v>
      </c>
      <c r="BK28" s="10">
        <f t="shared" si="24"/>
        <v>0</v>
      </c>
      <c r="BL28" s="10">
        <f t="shared" si="24"/>
        <v>0</v>
      </c>
      <c r="BM28" s="10">
        <f t="shared" si="24"/>
        <v>593586.96</v>
      </c>
      <c r="BS28" s="10" t="e">
        <f>SUM(BS26:BS27)</f>
        <v>#REF!</v>
      </c>
      <c r="BT28" t="s">
        <v>105</v>
      </c>
    </row>
    <row r="29" spans="1:72">
      <c r="A29" s="6" t="s">
        <v>106</v>
      </c>
      <c r="B29" s="351"/>
      <c r="C29" s="82"/>
      <c r="D29" s="82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366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S29" s="4"/>
      <c r="BT29" t="s">
        <v>106</v>
      </c>
    </row>
    <row r="30" spans="1:72">
      <c r="A30" s="7" t="s">
        <v>107</v>
      </c>
      <c r="B30" s="346">
        <f>SUM(G30:AV30)</f>
        <v>-5000</v>
      </c>
      <c r="C30" s="375">
        <f>SUM(E30:AV30)</f>
        <v>-5000</v>
      </c>
      <c r="D30" s="375">
        <v>-12638.6</v>
      </c>
      <c r="E30" s="8">
        <v>0</v>
      </c>
      <c r="F30" s="8">
        <v>0</v>
      </c>
      <c r="G30" s="8">
        <f>'June 2025 YTD'!C29*2</f>
        <v>0</v>
      </c>
      <c r="H30" s="8">
        <f>'June 2025 YTD'!D29*2</f>
        <v>0</v>
      </c>
      <c r="I30" s="8">
        <f>'June 2025 YTD'!E29*2</f>
        <v>0</v>
      </c>
      <c r="J30" s="8">
        <f>'June 2025 YTD'!F29*2</f>
        <v>0</v>
      </c>
      <c r="K30" s="8">
        <f>'June 2025 YTD'!G29*2</f>
        <v>0</v>
      </c>
      <c r="L30" s="8">
        <f>'June 2025 YTD'!H29*2</f>
        <v>0</v>
      </c>
      <c r="M30" s="8">
        <f>'June 2025 YTD'!I29*2</f>
        <v>0</v>
      </c>
      <c r="N30" s="8">
        <f>'June 2025 YTD'!J29*2</f>
        <v>0</v>
      </c>
      <c r="O30" s="8">
        <f>'June 2025 YTD'!K29*2</f>
        <v>0</v>
      </c>
      <c r="P30" s="8">
        <f>'June 2025 YTD'!L29*2</f>
        <v>0</v>
      </c>
      <c r="Q30" s="8">
        <f>'June 2025 YTD'!M29*2</f>
        <v>0</v>
      </c>
      <c r="R30" s="8">
        <f>'June 2025 YTD'!N29*2</f>
        <v>0</v>
      </c>
      <c r="S30" s="8">
        <f>'June 2025 YTD'!O29*2</f>
        <v>0</v>
      </c>
      <c r="T30" s="8">
        <f>'June 2025 YTD'!P29*2</f>
        <v>0</v>
      </c>
      <c r="U30" s="8">
        <f>'June 2025 YTD'!Q29*2</f>
        <v>0</v>
      </c>
      <c r="V30" s="8">
        <f>'June 2025 YTD'!R29*2</f>
        <v>0</v>
      </c>
      <c r="W30" s="8">
        <f>'June 2025 YTD'!S29*2</f>
        <v>0</v>
      </c>
      <c r="X30" s="8">
        <f>'June 2025 YTD'!T29*2</f>
        <v>0</v>
      </c>
      <c r="Y30" s="8">
        <f>'June 2025 YTD'!U29*2</f>
        <v>0</v>
      </c>
      <c r="Z30" s="8">
        <f>'June 2025 YTD'!V29*2</f>
        <v>0</v>
      </c>
      <c r="AA30" s="8">
        <f>'June 2025 YTD'!W29*2</f>
        <v>0</v>
      </c>
      <c r="AB30" s="8">
        <f>'June 2025 YTD'!X29*2</f>
        <v>0</v>
      </c>
      <c r="AC30" s="8">
        <f>'June 2025 YTD'!Y29*2</f>
        <v>0</v>
      </c>
      <c r="AD30" s="8">
        <f>'June 2025 YTD'!Z29*2</f>
        <v>0</v>
      </c>
      <c r="AE30" s="8">
        <f>'June 2025 YTD'!AA29*2</f>
        <v>0</v>
      </c>
      <c r="AF30" s="8">
        <f>'June 2025 YTD'!AB29*2</f>
        <v>0</v>
      </c>
      <c r="AG30" s="8">
        <f>'June 2025 YTD'!AC29*2</f>
        <v>0</v>
      </c>
      <c r="AH30" s="8">
        <f>'June 2025 YTD'!AD29*2</f>
        <v>0</v>
      </c>
      <c r="AI30" s="8">
        <f>'June 2025 YTD'!AE29*2</f>
        <v>0</v>
      </c>
      <c r="AJ30" s="8">
        <f>'June 2025 YTD'!AF29*2</f>
        <v>0</v>
      </c>
      <c r="AK30" s="8">
        <f>'June 2025 YTD'!AG29*2</f>
        <v>0</v>
      </c>
      <c r="AL30" s="8">
        <f>'June 2025 YTD'!AH29*2</f>
        <v>0</v>
      </c>
      <c r="AM30" s="8">
        <f>'June 2025 YTD'!AI29*2</f>
        <v>0</v>
      </c>
      <c r="AN30" s="8">
        <f>'June 2025 YTD'!AJ29*2</f>
        <v>0</v>
      </c>
      <c r="AO30" s="8">
        <f>'June 2025 YTD'!AK29*2</f>
        <v>0</v>
      </c>
      <c r="AP30" s="8">
        <f>'June 2025 YTD'!AL29*2</f>
        <v>0</v>
      </c>
      <c r="AQ30" s="8">
        <f>'June 2025 YTD'!AM29*2</f>
        <v>0</v>
      </c>
      <c r="AR30" s="8">
        <f>'June 2025 YTD'!AN29*2</f>
        <v>0</v>
      </c>
      <c r="AS30" s="8">
        <f>'June 2025 YTD'!AO29*2</f>
        <v>0</v>
      </c>
      <c r="AT30" s="8">
        <f>'June 2025 YTD'!AP29*2</f>
        <v>0</v>
      </c>
      <c r="AU30" s="8">
        <f>'June 2025 YTD'!AQ29*2</f>
        <v>0</v>
      </c>
      <c r="AV30" s="8">
        <v>-5000</v>
      </c>
      <c r="AW30" s="364"/>
      <c r="AX30" s="8">
        <f t="shared" ref="AX30:AX31" si="25">SUM(AY30:BL30)</f>
        <v>0</v>
      </c>
      <c r="AY30" s="8">
        <f>'June 2024 YTD'!BI30*2</f>
        <v>0</v>
      </c>
      <c r="AZ30" s="8">
        <f>'June 2024 YTD'!BJ30*2</f>
        <v>0</v>
      </c>
      <c r="BA30" s="8">
        <f>'June 2024 YTD'!BK30*2</f>
        <v>0</v>
      </c>
      <c r="BB30" s="8">
        <f>'June 2024 YTD'!BL30*2</f>
        <v>0</v>
      </c>
      <c r="BC30" s="8">
        <f>'June 2024 YTD'!BM30*2</f>
        <v>0</v>
      </c>
      <c r="BD30" s="8">
        <f>'June 2024 YTD'!BN30*2</f>
        <v>0</v>
      </c>
      <c r="BE30" s="8">
        <f>'June 2024 YTD'!BO30*2</f>
        <v>0</v>
      </c>
      <c r="BF30" s="8">
        <f>'June 2024 YTD'!BP30*2</f>
        <v>0</v>
      </c>
      <c r="BG30" s="8">
        <f>'June 2024 YTD'!BQ30*2</f>
        <v>0</v>
      </c>
      <c r="BH30" s="8">
        <f>'June 2024 YTD'!BR30*2</f>
        <v>0</v>
      </c>
      <c r="BI30" s="8">
        <f>'June 2024 YTD'!BS30*2</f>
        <v>0</v>
      </c>
      <c r="BJ30" s="8">
        <f>'June 2024 YTD'!BT30*2</f>
        <v>0</v>
      </c>
      <c r="BK30" s="8">
        <f>'June 2024 YTD'!BU30*2</f>
        <v>0</v>
      </c>
      <c r="BL30" s="8">
        <f>'June 2024 YTD'!BV30*2</f>
        <v>0</v>
      </c>
      <c r="BM30" s="8">
        <f>SUM(B30:BL30)</f>
        <v>-27638.6</v>
      </c>
      <c r="BS30" s="8" t="e">
        <f>SUM(B30:BL30)-#REF!-AV30-AP30-SUM(AY30:BL30)</f>
        <v>#REF!</v>
      </c>
      <c r="BT30" t="s">
        <v>107</v>
      </c>
    </row>
    <row r="31" spans="1:72">
      <c r="A31" s="7" t="s">
        <v>108</v>
      </c>
      <c r="B31" s="346">
        <f>SUM(G31:AV31)</f>
        <v>225000</v>
      </c>
      <c r="C31" s="375">
        <f>SUM(E31:AV31)</f>
        <v>225000</v>
      </c>
      <c r="D31" s="375">
        <v>70439.3</v>
      </c>
      <c r="E31" s="8">
        <v>0</v>
      </c>
      <c r="F31" s="8">
        <v>0</v>
      </c>
      <c r="G31" s="8">
        <f>'June 2025 YTD'!C30*2</f>
        <v>0</v>
      </c>
      <c r="H31" s="8">
        <f>'June 2025 YTD'!D30*2</f>
        <v>0</v>
      </c>
      <c r="I31" s="8">
        <f>'June 2025 YTD'!E30*2</f>
        <v>0</v>
      </c>
      <c r="J31" s="8">
        <f>'June 2025 YTD'!F30*2</f>
        <v>0</v>
      </c>
      <c r="K31" s="8">
        <f>'June 2025 YTD'!G30*2</f>
        <v>0</v>
      </c>
      <c r="L31" s="8">
        <f>'June 2025 YTD'!H30*2</f>
        <v>0</v>
      </c>
      <c r="M31" s="8">
        <f>'June 2025 YTD'!I30*2</f>
        <v>0</v>
      </c>
      <c r="N31" s="8">
        <f>'June 2025 YTD'!J30*2</f>
        <v>0</v>
      </c>
      <c r="O31" s="8">
        <f>'June 2025 YTD'!K30*2</f>
        <v>0</v>
      </c>
      <c r="P31" s="8">
        <f>'June 2025 YTD'!L30*2</f>
        <v>0</v>
      </c>
      <c r="Q31" s="8">
        <f>'June 2025 YTD'!M30*2</f>
        <v>0</v>
      </c>
      <c r="R31" s="8">
        <f>'June 2025 YTD'!N30*2</f>
        <v>0</v>
      </c>
      <c r="S31" s="8">
        <f>'June 2025 YTD'!O30*2</f>
        <v>0</v>
      </c>
      <c r="T31" s="8">
        <f>'June 2025 YTD'!P30*2</f>
        <v>0</v>
      </c>
      <c r="U31" s="8">
        <f>'June 2025 YTD'!Q30*2</f>
        <v>0</v>
      </c>
      <c r="V31" s="8">
        <f>'June 2025 YTD'!R30*2</f>
        <v>0</v>
      </c>
      <c r="W31" s="8">
        <f>'June 2025 YTD'!S30*2</f>
        <v>0</v>
      </c>
      <c r="X31" s="8">
        <f>'June 2025 YTD'!T30*2</f>
        <v>0</v>
      </c>
      <c r="Y31" s="8">
        <f>'June 2025 YTD'!U30*2</f>
        <v>0</v>
      </c>
      <c r="Z31" s="8">
        <f>'June 2025 YTD'!V30*2</f>
        <v>0</v>
      </c>
      <c r="AA31" s="8">
        <f>'June 2025 YTD'!W30*2</f>
        <v>0</v>
      </c>
      <c r="AB31" s="8">
        <f>'June 2025 YTD'!X30*2</f>
        <v>0</v>
      </c>
      <c r="AC31" s="8">
        <f>'June 2025 YTD'!Y30*2</f>
        <v>0</v>
      </c>
      <c r="AD31" s="8">
        <f>'June 2025 YTD'!Z30*2</f>
        <v>0</v>
      </c>
      <c r="AE31" s="8">
        <f>'June 2025 YTD'!AA30*2</f>
        <v>0</v>
      </c>
      <c r="AF31" s="8">
        <f>'June 2025 YTD'!AB30*2</f>
        <v>0</v>
      </c>
      <c r="AG31" s="8">
        <f>'June 2025 YTD'!AC30*2</f>
        <v>0</v>
      </c>
      <c r="AH31" s="8">
        <f>'June 2025 YTD'!AD30*2</f>
        <v>0</v>
      </c>
      <c r="AI31" s="8">
        <f>'June 2025 YTD'!AE30*2</f>
        <v>0</v>
      </c>
      <c r="AJ31" s="8">
        <f>'June 2025 YTD'!AF30*2</f>
        <v>0</v>
      </c>
      <c r="AK31" s="8">
        <f>'June 2025 YTD'!AG30*2</f>
        <v>0</v>
      </c>
      <c r="AL31" s="8">
        <f>'June 2025 YTD'!AH30*2</f>
        <v>0</v>
      </c>
      <c r="AM31" s="8">
        <f>'June 2025 YTD'!AI30*2</f>
        <v>0</v>
      </c>
      <c r="AN31" s="8">
        <f>'June 2025 YTD'!AJ30*2</f>
        <v>0</v>
      </c>
      <c r="AO31" s="8">
        <f>'June 2025 YTD'!AK30*2</f>
        <v>0</v>
      </c>
      <c r="AP31" s="8">
        <f>'June 2025 YTD'!AL30*2</f>
        <v>0</v>
      </c>
      <c r="AQ31" s="8">
        <f>'June 2025 YTD'!AM30*2</f>
        <v>0</v>
      </c>
      <c r="AR31" s="8">
        <f>'June 2025 YTD'!AN30*2</f>
        <v>0</v>
      </c>
      <c r="AS31" s="8">
        <f>'June 2025 YTD'!AO30*2</f>
        <v>0</v>
      </c>
      <c r="AT31" s="8">
        <f>'June 2025 YTD'!AP30*2</f>
        <v>0</v>
      </c>
      <c r="AU31" s="8">
        <f>'June 2025 YTD'!AQ30*2</f>
        <v>0</v>
      </c>
      <c r="AV31" s="8">
        <v>225000</v>
      </c>
      <c r="AW31" s="364"/>
      <c r="AX31" s="8">
        <f t="shared" si="25"/>
        <v>0</v>
      </c>
      <c r="AY31" s="8">
        <f>'June 2024 YTD'!BI31*2</f>
        <v>0</v>
      </c>
      <c r="AZ31" s="8">
        <f>'June 2024 YTD'!BJ31*2</f>
        <v>0</v>
      </c>
      <c r="BA31" s="8">
        <f>'June 2024 YTD'!BK31*2</f>
        <v>0</v>
      </c>
      <c r="BB31" s="8">
        <f>'June 2024 YTD'!BL31*2</f>
        <v>0</v>
      </c>
      <c r="BC31" s="8">
        <f>'June 2024 YTD'!BM31*2</f>
        <v>0</v>
      </c>
      <c r="BD31" s="8">
        <f>'June 2024 YTD'!BN31*2</f>
        <v>0</v>
      </c>
      <c r="BE31" s="8">
        <f>'June 2024 YTD'!BO31*2</f>
        <v>0</v>
      </c>
      <c r="BF31" s="8">
        <f>'June 2024 YTD'!BP31*2</f>
        <v>0</v>
      </c>
      <c r="BG31" s="8">
        <f>'June 2024 YTD'!BQ31*2</f>
        <v>0</v>
      </c>
      <c r="BH31" s="8">
        <f>'June 2024 YTD'!BR31*2</f>
        <v>0</v>
      </c>
      <c r="BI31" s="8">
        <f>'June 2024 YTD'!BS31*2</f>
        <v>0</v>
      </c>
      <c r="BJ31" s="8">
        <f>'June 2024 YTD'!BT31*2</f>
        <v>0</v>
      </c>
      <c r="BK31" s="8">
        <f>'June 2024 YTD'!BU31*2</f>
        <v>0</v>
      </c>
      <c r="BL31" s="8">
        <f>'June 2024 YTD'!BV31*2</f>
        <v>0</v>
      </c>
      <c r="BM31" s="8">
        <f>SUM(B31:BL31)</f>
        <v>745439.3</v>
      </c>
      <c r="BS31" s="8" t="e">
        <f>SUM(B31:BL31)-#REF!-AV31-AP31-SUM(AY31:BL31)</f>
        <v>#REF!</v>
      </c>
      <c r="BT31" t="s">
        <v>108</v>
      </c>
    </row>
    <row r="32" spans="1:72">
      <c r="A32" s="9" t="s">
        <v>109</v>
      </c>
      <c r="B32" s="287">
        <f t="shared" ref="B32:BC32" si="26">SUM(B30:B31)</f>
        <v>220000</v>
      </c>
      <c r="C32" s="377">
        <f t="shared" si="26"/>
        <v>220000</v>
      </c>
      <c r="D32" s="378">
        <f>SUM(D30:D31)</f>
        <v>57800.700000000004</v>
      </c>
      <c r="E32" s="10">
        <f>SUM(E30:E31)</f>
        <v>0</v>
      </c>
      <c r="F32" s="10">
        <f>SUM(F30:F31)</f>
        <v>0</v>
      </c>
      <c r="G32" s="10">
        <f t="shared" si="26"/>
        <v>0</v>
      </c>
      <c r="H32" s="10">
        <f t="shared" si="26"/>
        <v>0</v>
      </c>
      <c r="I32" s="10">
        <f t="shared" si="26"/>
        <v>0</v>
      </c>
      <c r="J32" s="10">
        <f t="shared" si="26"/>
        <v>0</v>
      </c>
      <c r="K32" s="10">
        <f t="shared" si="26"/>
        <v>0</v>
      </c>
      <c r="L32" s="10">
        <f t="shared" si="26"/>
        <v>0</v>
      </c>
      <c r="M32" s="10">
        <f t="shared" si="26"/>
        <v>0</v>
      </c>
      <c r="N32" s="10">
        <f t="shared" si="26"/>
        <v>0</v>
      </c>
      <c r="O32" s="10">
        <f t="shared" si="26"/>
        <v>0</v>
      </c>
      <c r="P32" s="10">
        <f t="shared" si="26"/>
        <v>0</v>
      </c>
      <c r="Q32" s="10">
        <f t="shared" si="26"/>
        <v>0</v>
      </c>
      <c r="R32" s="10">
        <f t="shared" si="26"/>
        <v>0</v>
      </c>
      <c r="S32" s="10">
        <f t="shared" si="26"/>
        <v>0</v>
      </c>
      <c r="T32" s="10">
        <f t="shared" ref="T32" si="27">SUM(T30:T31)</f>
        <v>0</v>
      </c>
      <c r="U32" s="10">
        <f t="shared" si="26"/>
        <v>0</v>
      </c>
      <c r="V32" s="10">
        <f t="shared" si="26"/>
        <v>0</v>
      </c>
      <c r="W32" s="10">
        <f t="shared" si="26"/>
        <v>0</v>
      </c>
      <c r="X32" s="10">
        <f t="shared" si="26"/>
        <v>0</v>
      </c>
      <c r="Y32" s="10">
        <f t="shared" si="26"/>
        <v>0</v>
      </c>
      <c r="Z32" s="10">
        <f t="shared" si="26"/>
        <v>0</v>
      </c>
      <c r="AA32" s="10">
        <f t="shared" si="26"/>
        <v>0</v>
      </c>
      <c r="AB32" s="10">
        <f t="shared" si="26"/>
        <v>0</v>
      </c>
      <c r="AC32" s="10">
        <f t="shared" ref="AC32:AD32" si="28">SUM(AC30:AC31)</f>
        <v>0</v>
      </c>
      <c r="AD32" s="10">
        <f t="shared" si="28"/>
        <v>0</v>
      </c>
      <c r="AE32" s="10">
        <f t="shared" si="26"/>
        <v>0</v>
      </c>
      <c r="AF32" s="10">
        <f t="shared" si="26"/>
        <v>0</v>
      </c>
      <c r="AG32" s="10">
        <f t="shared" ref="AG32:AH32" si="29">SUM(AG30:AG31)</f>
        <v>0</v>
      </c>
      <c r="AH32" s="10">
        <f t="shared" si="29"/>
        <v>0</v>
      </c>
      <c r="AI32" s="10">
        <f t="shared" ref="AI32" si="30">SUM(AI30:AI31)</f>
        <v>0</v>
      </c>
      <c r="AJ32" s="10">
        <f t="shared" ref="AJ32:AO32" si="31">SUM(AJ30:AJ31)</f>
        <v>0</v>
      </c>
      <c r="AK32" s="10">
        <f t="shared" si="31"/>
        <v>0</v>
      </c>
      <c r="AL32" s="10">
        <f t="shared" si="31"/>
        <v>0</v>
      </c>
      <c r="AM32" s="10">
        <f t="shared" si="31"/>
        <v>0</v>
      </c>
      <c r="AN32" s="10">
        <f t="shared" si="31"/>
        <v>0</v>
      </c>
      <c r="AO32" s="10">
        <f t="shared" si="31"/>
        <v>0</v>
      </c>
      <c r="AP32" s="10">
        <f t="shared" si="26"/>
        <v>0</v>
      </c>
      <c r="AQ32" s="10">
        <f t="shared" si="26"/>
        <v>0</v>
      </c>
      <c r="AR32" s="10">
        <f t="shared" si="26"/>
        <v>0</v>
      </c>
      <c r="AS32" s="10">
        <f t="shared" si="26"/>
        <v>0</v>
      </c>
      <c r="AT32" s="10">
        <f t="shared" si="26"/>
        <v>0</v>
      </c>
      <c r="AU32" s="10">
        <f t="shared" si="26"/>
        <v>0</v>
      </c>
      <c r="AV32" s="10">
        <f t="shared" si="26"/>
        <v>220000</v>
      </c>
      <c r="AW32" s="365"/>
      <c r="AX32" s="10">
        <f>SUM(AX30:AX31)</f>
        <v>0</v>
      </c>
      <c r="AY32" s="10">
        <f t="shared" si="26"/>
        <v>0</v>
      </c>
      <c r="AZ32" s="10">
        <f t="shared" si="26"/>
        <v>0</v>
      </c>
      <c r="BA32" s="10">
        <f t="shared" si="26"/>
        <v>0</v>
      </c>
      <c r="BB32" s="10">
        <f t="shared" si="26"/>
        <v>0</v>
      </c>
      <c r="BC32" s="10">
        <f t="shared" si="26"/>
        <v>0</v>
      </c>
      <c r="BD32" s="10">
        <f t="shared" ref="BD32:BM32" si="32">SUM(BD30:BD31)</f>
        <v>0</v>
      </c>
      <c r="BE32" s="10">
        <f t="shared" si="32"/>
        <v>0</v>
      </c>
      <c r="BF32" s="10">
        <f t="shared" si="32"/>
        <v>0</v>
      </c>
      <c r="BG32" s="10">
        <f t="shared" si="32"/>
        <v>0</v>
      </c>
      <c r="BH32" s="10">
        <f t="shared" si="32"/>
        <v>0</v>
      </c>
      <c r="BI32" s="10">
        <f t="shared" si="32"/>
        <v>0</v>
      </c>
      <c r="BJ32" s="10">
        <f t="shared" si="32"/>
        <v>0</v>
      </c>
      <c r="BK32" s="10">
        <f t="shared" si="32"/>
        <v>0</v>
      </c>
      <c r="BL32" s="10">
        <f t="shared" si="32"/>
        <v>0</v>
      </c>
      <c r="BM32" s="10">
        <f t="shared" si="32"/>
        <v>717800.70000000007</v>
      </c>
      <c r="BS32" s="10" t="e">
        <f t="shared" ref="BS32" si="33">SUM(BS30:BS31)</f>
        <v>#REF!</v>
      </c>
      <c r="BT32" t="s">
        <v>109</v>
      </c>
    </row>
    <row r="33" spans="1:72">
      <c r="A33" s="12" t="s">
        <v>110</v>
      </c>
      <c r="B33" s="287">
        <f>SUM(B18,B23:B24,B28,B32)</f>
        <v>12350987.158888891</v>
      </c>
      <c r="C33" s="377">
        <f>SUM(C18,C23:C24,C28)</f>
        <v>15445691.988888891</v>
      </c>
      <c r="D33" s="377">
        <v>12490346.09</v>
      </c>
      <c r="E33" s="10">
        <f t="shared" ref="E33:F33" si="34">SUM(E18,E23:E24,E28,E32)</f>
        <v>3200000</v>
      </c>
      <c r="F33" s="10">
        <f t="shared" si="34"/>
        <v>114704.82999999999</v>
      </c>
      <c r="G33" s="10">
        <f t="shared" ref="G33:AK33" si="35">SUM(G18,G23:G24,G28,G32)</f>
        <v>1021975.5555555555</v>
      </c>
      <c r="H33" s="10">
        <f t="shared" si="35"/>
        <v>645255.5555555555</v>
      </c>
      <c r="I33" s="10">
        <f t="shared" si="35"/>
        <v>127337.77777777778</v>
      </c>
      <c r="J33" s="10">
        <f t="shared" si="35"/>
        <v>159072.22222222222</v>
      </c>
      <c r="K33" s="10">
        <f t="shared" si="35"/>
        <v>72585.555555555562</v>
      </c>
      <c r="L33" s="10">
        <f t="shared" si="35"/>
        <v>195136.66666666666</v>
      </c>
      <c r="M33" s="10">
        <f t="shared" si="35"/>
        <v>314222.22222222225</v>
      </c>
      <c r="N33" s="10">
        <f t="shared" si="35"/>
        <v>827672.22222222225</v>
      </c>
      <c r="O33" s="10">
        <f t="shared" si="35"/>
        <v>215460</v>
      </c>
      <c r="P33" s="10">
        <f t="shared" si="35"/>
        <v>25169</v>
      </c>
      <c r="Q33" s="10">
        <f t="shared" si="35"/>
        <v>184806.75</v>
      </c>
      <c r="R33" s="10">
        <f t="shared" si="35"/>
        <v>349833.99</v>
      </c>
      <c r="S33" s="10">
        <f t="shared" si="35"/>
        <v>123698.14</v>
      </c>
      <c r="T33" s="10">
        <f t="shared" si="35"/>
        <v>21267.91</v>
      </c>
      <c r="U33" s="10">
        <f t="shared" si="35"/>
        <v>89750</v>
      </c>
      <c r="V33" s="10">
        <f t="shared" si="35"/>
        <v>68071</v>
      </c>
      <c r="W33" s="10">
        <f t="shared" si="35"/>
        <v>78002</v>
      </c>
      <c r="X33" s="10">
        <f t="shared" si="35"/>
        <v>193364.74</v>
      </c>
      <c r="Y33" s="10">
        <f t="shared" si="35"/>
        <v>33792</v>
      </c>
      <c r="Z33" s="10">
        <f t="shared" si="35"/>
        <v>65256</v>
      </c>
      <c r="AA33" s="10">
        <f t="shared" si="35"/>
        <v>28700</v>
      </c>
      <c r="AB33" s="10">
        <f t="shared" si="35"/>
        <v>410395.26</v>
      </c>
      <c r="AC33" s="10">
        <f t="shared" si="35"/>
        <v>43333.333333333336</v>
      </c>
      <c r="AD33" s="10">
        <f t="shared" si="35"/>
        <v>16666.666666666668</v>
      </c>
      <c r="AE33" s="10">
        <f t="shared" si="35"/>
        <v>13333.333333333334</v>
      </c>
      <c r="AF33" s="10">
        <f t="shared" si="35"/>
        <v>5555.5555555555557</v>
      </c>
      <c r="AG33" s="10">
        <f t="shared" si="35"/>
        <v>3048418</v>
      </c>
      <c r="AH33" s="10">
        <f t="shared" si="35"/>
        <v>2139456.88</v>
      </c>
      <c r="AI33" s="10">
        <f t="shared" si="35"/>
        <v>66850</v>
      </c>
      <c r="AJ33" s="10">
        <f t="shared" si="35"/>
        <v>9492</v>
      </c>
      <c r="AK33" s="10">
        <f t="shared" si="35"/>
        <v>9690</v>
      </c>
      <c r="AL33" s="10">
        <f t="shared" ref="AL33:BM33" si="36">SUM(AL18,AL23:AL24,AL28,AL32)</f>
        <v>10366</v>
      </c>
      <c r="AM33" s="10">
        <f t="shared" si="36"/>
        <v>22168</v>
      </c>
      <c r="AN33" s="10">
        <f t="shared" si="36"/>
        <v>14362</v>
      </c>
      <c r="AO33" s="10">
        <f t="shared" si="36"/>
        <v>10000</v>
      </c>
      <c r="AP33" s="10">
        <f t="shared" si="36"/>
        <v>76523.266666666663</v>
      </c>
      <c r="AQ33" s="10">
        <f t="shared" si="36"/>
        <v>9427.7777777777774</v>
      </c>
      <c r="AR33" s="10">
        <f t="shared" si="36"/>
        <v>322311.11111111112</v>
      </c>
      <c r="AS33" s="10">
        <f t="shared" si="36"/>
        <v>105122</v>
      </c>
      <c r="AT33" s="10">
        <f t="shared" si="36"/>
        <v>403086.66666666669</v>
      </c>
      <c r="AU33" s="10">
        <f t="shared" si="36"/>
        <v>300000</v>
      </c>
      <c r="AV33" s="10">
        <f>SUM(AV18,AV23:AV24,AV28)</f>
        <v>254000</v>
      </c>
      <c r="AW33" s="365"/>
      <c r="AX33" s="10">
        <f>AX32+AX28+AX25+AX23+AX18</f>
        <v>23918027</v>
      </c>
      <c r="AY33" s="10">
        <f t="shared" si="36"/>
        <v>1748847</v>
      </c>
      <c r="AZ33" s="10">
        <f t="shared" si="36"/>
        <v>687259.4</v>
      </c>
      <c r="BA33" s="10">
        <f t="shared" si="36"/>
        <v>2994750.6</v>
      </c>
      <c r="BB33" s="10">
        <f t="shared" si="36"/>
        <v>34900</v>
      </c>
      <c r="BC33" s="10">
        <f t="shared" si="36"/>
        <v>636004</v>
      </c>
      <c r="BD33" s="10">
        <f t="shared" si="36"/>
        <v>524345</v>
      </c>
      <c r="BE33" s="10">
        <f t="shared" si="36"/>
        <v>72745</v>
      </c>
      <c r="BF33" s="10">
        <f t="shared" si="36"/>
        <v>1100311</v>
      </c>
      <c r="BG33" s="10">
        <f t="shared" si="36"/>
        <v>855571</v>
      </c>
      <c r="BH33" s="10">
        <f t="shared" si="36"/>
        <v>4566388</v>
      </c>
      <c r="BI33" s="10">
        <f t="shared" si="36"/>
        <v>9243555</v>
      </c>
      <c r="BJ33" s="10">
        <f t="shared" si="36"/>
        <v>980484</v>
      </c>
      <c r="BK33" s="10">
        <f t="shared" si="36"/>
        <v>246345</v>
      </c>
      <c r="BL33" s="10">
        <f t="shared" si="36"/>
        <v>226522</v>
      </c>
      <c r="BM33" s="10">
        <f t="shared" si="36"/>
        <v>103995251.64666666</v>
      </c>
      <c r="BO33" s="21">
        <f>BM33-BL33-BK33-BJ33-BI33-BH33-BG33-BF33-BE33-BD33-BC33-BB33-BA33-AZ33-AY33-AV33</f>
        <v>79823224.646666661</v>
      </c>
      <c r="BS33" s="10" t="e">
        <f>SUM(BS18,BS23:BS24,BS28,BS32)</f>
        <v>#REF!</v>
      </c>
      <c r="BT33" t="s">
        <v>110</v>
      </c>
    </row>
    <row r="34" spans="1:72">
      <c r="A34" s="13" t="s">
        <v>111</v>
      </c>
      <c r="B34" s="350">
        <f t="shared" ref="B34:BC34" si="37">B33-0</f>
        <v>12350987.158888891</v>
      </c>
      <c r="C34" s="385">
        <f t="shared" si="37"/>
        <v>15445691.988888891</v>
      </c>
      <c r="D34" s="385">
        <v>12490346.09</v>
      </c>
      <c r="E34" s="14">
        <f t="shared" ref="E34:F34" si="38">E33-0</f>
        <v>3200000</v>
      </c>
      <c r="F34" s="14">
        <f t="shared" si="38"/>
        <v>114704.82999999999</v>
      </c>
      <c r="G34" s="14">
        <f t="shared" si="37"/>
        <v>1021975.5555555555</v>
      </c>
      <c r="H34" s="14">
        <f t="shared" si="37"/>
        <v>645255.5555555555</v>
      </c>
      <c r="I34" s="14">
        <f t="shared" si="37"/>
        <v>127337.77777777778</v>
      </c>
      <c r="J34" s="14">
        <f t="shared" si="37"/>
        <v>159072.22222222222</v>
      </c>
      <c r="K34" s="14">
        <f t="shared" si="37"/>
        <v>72585.555555555562</v>
      </c>
      <c r="L34" s="14">
        <f t="shared" si="37"/>
        <v>195136.66666666666</v>
      </c>
      <c r="M34" s="14">
        <f t="shared" si="37"/>
        <v>314222.22222222225</v>
      </c>
      <c r="N34" s="14">
        <f t="shared" si="37"/>
        <v>827672.22222222225</v>
      </c>
      <c r="O34" s="14">
        <f t="shared" si="37"/>
        <v>215460</v>
      </c>
      <c r="P34" s="14">
        <f t="shared" si="37"/>
        <v>25169</v>
      </c>
      <c r="Q34" s="14">
        <f t="shared" si="37"/>
        <v>184806.75</v>
      </c>
      <c r="R34" s="14">
        <f t="shared" si="37"/>
        <v>349833.99</v>
      </c>
      <c r="S34" s="14">
        <f t="shared" si="37"/>
        <v>123698.14</v>
      </c>
      <c r="T34" s="14">
        <f t="shared" ref="T34" si="39">T33-0</f>
        <v>21267.91</v>
      </c>
      <c r="U34" s="14">
        <f t="shared" si="37"/>
        <v>89750</v>
      </c>
      <c r="V34" s="14">
        <f t="shared" si="37"/>
        <v>68071</v>
      </c>
      <c r="W34" s="14">
        <f t="shared" si="37"/>
        <v>78002</v>
      </c>
      <c r="X34" s="14">
        <f t="shared" si="37"/>
        <v>193364.74</v>
      </c>
      <c r="Y34" s="14">
        <f t="shared" si="37"/>
        <v>33792</v>
      </c>
      <c r="Z34" s="14">
        <f t="shared" si="37"/>
        <v>65256</v>
      </c>
      <c r="AA34" s="14">
        <f t="shared" si="37"/>
        <v>28700</v>
      </c>
      <c r="AB34" s="14">
        <f t="shared" si="37"/>
        <v>410395.26</v>
      </c>
      <c r="AC34" s="14">
        <f t="shared" ref="AC34:AD34" si="40">AC33-0</f>
        <v>43333.333333333336</v>
      </c>
      <c r="AD34" s="14">
        <f t="shared" si="40"/>
        <v>16666.666666666668</v>
      </c>
      <c r="AE34" s="14">
        <f t="shared" si="37"/>
        <v>13333.333333333334</v>
      </c>
      <c r="AF34" s="14">
        <f t="shared" si="37"/>
        <v>5555.5555555555557</v>
      </c>
      <c r="AG34" s="14">
        <f t="shared" ref="AG34:AH34" si="41">AG33-0</f>
        <v>3048418</v>
      </c>
      <c r="AH34" s="14">
        <f t="shared" si="41"/>
        <v>2139456.88</v>
      </c>
      <c r="AI34" s="14">
        <f t="shared" ref="AI34" si="42">AI33-0</f>
        <v>66850</v>
      </c>
      <c r="AJ34" s="14">
        <f t="shared" ref="AJ34:AO34" si="43">AJ33-0</f>
        <v>9492</v>
      </c>
      <c r="AK34" s="14">
        <f t="shared" si="43"/>
        <v>9690</v>
      </c>
      <c r="AL34" s="14">
        <f t="shared" si="43"/>
        <v>10366</v>
      </c>
      <c r="AM34" s="14">
        <f t="shared" si="43"/>
        <v>22168</v>
      </c>
      <c r="AN34" s="14">
        <f t="shared" si="43"/>
        <v>14362</v>
      </c>
      <c r="AO34" s="14">
        <f t="shared" si="43"/>
        <v>10000</v>
      </c>
      <c r="AP34" s="14">
        <f t="shared" si="37"/>
        <v>76523.266666666663</v>
      </c>
      <c r="AQ34" s="14">
        <f t="shared" si="37"/>
        <v>9427.7777777777774</v>
      </c>
      <c r="AR34" s="14">
        <f t="shared" si="37"/>
        <v>322311.11111111112</v>
      </c>
      <c r="AS34" s="14">
        <f t="shared" si="37"/>
        <v>105122</v>
      </c>
      <c r="AT34" s="14">
        <f t="shared" si="37"/>
        <v>403086.66666666669</v>
      </c>
      <c r="AU34" s="14">
        <f t="shared" si="37"/>
        <v>300000</v>
      </c>
      <c r="AV34" s="14">
        <f t="shared" si="37"/>
        <v>254000</v>
      </c>
      <c r="AW34" s="368"/>
      <c r="AX34" s="14"/>
      <c r="AY34" s="14">
        <f t="shared" si="37"/>
        <v>1748847</v>
      </c>
      <c r="AZ34" s="14">
        <f t="shared" si="37"/>
        <v>687259.4</v>
      </c>
      <c r="BA34" s="14">
        <f t="shared" si="37"/>
        <v>2994750.6</v>
      </c>
      <c r="BB34" s="14">
        <f t="shared" si="37"/>
        <v>34900</v>
      </c>
      <c r="BC34" s="14">
        <f t="shared" si="37"/>
        <v>636004</v>
      </c>
      <c r="BD34" s="14">
        <f t="shared" ref="BD34:BM34" si="44">BD33-0</f>
        <v>524345</v>
      </c>
      <c r="BE34" s="14">
        <f t="shared" si="44"/>
        <v>72745</v>
      </c>
      <c r="BF34" s="14">
        <f t="shared" si="44"/>
        <v>1100311</v>
      </c>
      <c r="BG34" s="14">
        <f t="shared" si="44"/>
        <v>855571</v>
      </c>
      <c r="BH34" s="14">
        <f t="shared" si="44"/>
        <v>4566388</v>
      </c>
      <c r="BI34" s="14">
        <f t="shared" si="44"/>
        <v>9243555</v>
      </c>
      <c r="BJ34" s="14">
        <f t="shared" si="44"/>
        <v>980484</v>
      </c>
      <c r="BK34" s="14">
        <f t="shared" si="44"/>
        <v>246345</v>
      </c>
      <c r="BL34" s="14">
        <f t="shared" si="44"/>
        <v>226522</v>
      </c>
      <c r="BM34" s="14">
        <f t="shared" si="44"/>
        <v>103995251.64666666</v>
      </c>
      <c r="BS34" s="14" t="e">
        <f t="shared" ref="BS34" si="45">BS33-0</f>
        <v>#REF!</v>
      </c>
      <c r="BT34" t="s">
        <v>111</v>
      </c>
    </row>
    <row r="35" spans="1:72">
      <c r="A35" s="5" t="s">
        <v>112</v>
      </c>
      <c r="B35" s="19"/>
      <c r="C35" s="82"/>
      <c r="D35" s="82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366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>
        <f>BM33-BM18</f>
        <v>9656212.7866666615</v>
      </c>
      <c r="BN35" s="85">
        <f>BM32+BM28+BM23+BM15</f>
        <v>4004408.67</v>
      </c>
      <c r="BS35" s="4"/>
      <c r="BT35" t="s">
        <v>112</v>
      </c>
    </row>
    <row r="36" spans="1:72" ht="9.75" customHeight="1">
      <c r="A36" s="6" t="s">
        <v>113</v>
      </c>
      <c r="B36" s="19"/>
      <c r="C36" s="82"/>
      <c r="D36" s="82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366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S36" s="4"/>
      <c r="BT36" t="s">
        <v>113</v>
      </c>
    </row>
    <row r="37" spans="1:72">
      <c r="A37" s="7" t="s">
        <v>114</v>
      </c>
      <c r="B37" s="346">
        <f>SUM(G37:AV37)</f>
        <v>3954023.8328096247</v>
      </c>
      <c r="C37" s="375">
        <f>SUM(E37:AV37)</f>
        <v>4089128.2347014998</v>
      </c>
      <c r="D37" s="375">
        <v>3944094.65</v>
      </c>
      <c r="E37" s="8">
        <f>'2026 Labor Alloc $$'!AX76</f>
        <v>61049.906555624999</v>
      </c>
      <c r="F37" s="8">
        <f>'2026 Labor Alloc $$'!AY76</f>
        <v>74054.495336249995</v>
      </c>
      <c r="G37" s="8">
        <f>'2026 Labor Alloc $$'!H76</f>
        <v>514783.13817056239</v>
      </c>
      <c r="H37" s="8">
        <f>'2026 Labor Alloc $$'!I76</f>
        <v>370053.45350697497</v>
      </c>
      <c r="I37" s="8">
        <f>'2026 Labor Alloc $$'!J76</f>
        <v>73556.812120999995</v>
      </c>
      <c r="J37" s="8">
        <f>'2026 Labor Alloc $$'!K76</f>
        <v>92541.7396305</v>
      </c>
      <c r="K37" s="8">
        <f>'2026 Labor Alloc $$'!L76</f>
        <v>36295.393836000003</v>
      </c>
      <c r="L37" s="8">
        <f>'2026 Labor Alloc $$'!M76</f>
        <v>103454.494362375</v>
      </c>
      <c r="M37" s="8">
        <f>'2026 Labor Alloc $$'!N76</f>
        <v>180588.52430775002</v>
      </c>
      <c r="N37" s="8">
        <f>'2026 Labor Alloc $$'!O76</f>
        <v>474519.82223962498</v>
      </c>
      <c r="O37" s="8">
        <f>'2026 Labor Alloc $$'!P76</f>
        <v>136959.07138862499</v>
      </c>
      <c r="P37" s="8">
        <f>'2026 Labor Alloc $$'!Q76</f>
        <v>14637.80250928125</v>
      </c>
      <c r="Q37" s="8">
        <f>'2026 Labor Alloc $$'!R76</f>
        <v>118120.62234375</v>
      </c>
      <c r="R37" s="8">
        <f>'2026 Labor Alloc $$'!S76</f>
        <v>211478.97562837502</v>
      </c>
      <c r="S37" s="8">
        <f>'2026 Labor Alloc $$'!T76</f>
        <v>79319.587039875012</v>
      </c>
      <c r="T37" s="8">
        <f>'2026 Labor Alloc $$'!U76</f>
        <v>13366.852707</v>
      </c>
      <c r="U37" s="8">
        <f>'2026 Labor Alloc $$'!V76</f>
        <v>58815.646597500003</v>
      </c>
      <c r="V37" s="8">
        <f>'2026 Labor Alloc $$'!W76</f>
        <v>44697.812176874999</v>
      </c>
      <c r="W37" s="8">
        <f>'2026 Labor Alloc $$'!X76</f>
        <v>51396.119828625</v>
      </c>
      <c r="X37" s="8">
        <f>'2026 Labor Alloc $$'!Y76</f>
        <v>121570.61460375</v>
      </c>
      <c r="Y37" s="8">
        <f>'2026 Labor Alloc $$'!Z76</f>
        <v>22162.509651562501</v>
      </c>
      <c r="Z37" s="8">
        <f>'2026 Labor Alloc $$'!AA76</f>
        <v>42573.184692499999</v>
      </c>
      <c r="AA37" s="8">
        <f>'2026 Labor Alloc $$'!AB76</f>
        <v>16772.915211</v>
      </c>
      <c r="AB37" s="8">
        <f>'2026 Labor Alloc $$'!AC76</f>
        <v>266655.82042125001</v>
      </c>
      <c r="AC37" s="8">
        <f>'2026 Labor Alloc $$'!AD76</f>
        <v>25991.831988750004</v>
      </c>
      <c r="AD37" s="8">
        <f>'2026 Labor Alloc $$'!AE76</f>
        <v>6392.8425989999996</v>
      </c>
      <c r="AE37" s="8">
        <f>'2026 Labor Alloc $$'!AF76</f>
        <v>7551.3819614999993</v>
      </c>
      <c r="AF37" s="8">
        <f>'2026 Labor Alloc $$'!AG76</f>
        <v>3487.0050539999997</v>
      </c>
      <c r="AG37" s="8">
        <f>'2026 Labor Alloc $$'!AH76</f>
        <v>244536.797739</v>
      </c>
      <c r="AH37" s="8">
        <f>'2026 Labor Alloc $$'!AI76</f>
        <v>130499.75190646877</v>
      </c>
      <c r="AI37" s="8">
        <f>'2026 Labor Alloc $$'!AJ76</f>
        <v>31243.544114249999</v>
      </c>
      <c r="AJ37" s="8">
        <f>'2026 Labor Alloc $$'!AK76</f>
        <v>0</v>
      </c>
      <c r="AK37" s="8">
        <f>'2026 Labor Alloc $$'!AL76</f>
        <v>2282.9950000000003</v>
      </c>
      <c r="AL37" s="8">
        <f>'2026 Labor Alloc $$'!AM76</f>
        <v>3196.1930000000002</v>
      </c>
      <c r="AM37" s="8">
        <f>'2026 Labor Alloc $$'!AN76</f>
        <v>9131.9800000000014</v>
      </c>
      <c r="AN37" s="8">
        <f>'2026 Labor Alloc $$'!AO76</f>
        <v>3652.7920000000004</v>
      </c>
      <c r="AO37" s="8">
        <f>'2026 Labor Alloc $$'!AP76</f>
        <v>0</v>
      </c>
      <c r="AP37" s="8">
        <f>'2026 Labor Alloc $$'!AQ76</f>
        <v>0</v>
      </c>
      <c r="AQ37" s="8">
        <f>'2026 Labor Alloc $$'!AR76</f>
        <v>6204.2464575000004</v>
      </c>
      <c r="AR37" s="8">
        <f>'2026 Labor Alloc $$'!AS76</f>
        <v>84353.799372124995</v>
      </c>
      <c r="AS37" s="8">
        <f>'2026 Labor Alloc $$'!AT76</f>
        <v>22669.613458874999</v>
      </c>
      <c r="AT37" s="8">
        <f>'2026 Labor Alloc $$'!AU76</f>
        <v>236651.84135839995</v>
      </c>
      <c r="AU37" s="8">
        <f>'2026 Labor Alloc $$'!AV76</f>
        <v>91856.303824999995</v>
      </c>
      <c r="AV37" s="8">
        <f>'2026 Labor Alloc $$'!AW76</f>
        <v>0</v>
      </c>
      <c r="AW37" s="364"/>
      <c r="AX37" s="8">
        <f t="shared" ref="AX37:AX100" si="46">SUM(AY37:BL37)</f>
        <v>0</v>
      </c>
      <c r="AY37" s="8">
        <v>0</v>
      </c>
      <c r="AZ37" s="8">
        <v>0</v>
      </c>
      <c r="BA37" s="8">
        <v>0</v>
      </c>
      <c r="BB37" s="8">
        <v>0</v>
      </c>
      <c r="BC37" s="8">
        <v>0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8">
        <f>SUM(G37:BL37)</f>
        <v>3954023.8328096247</v>
      </c>
      <c r="BQ37" s="85"/>
      <c r="BS37" s="8" t="e">
        <f>SUM(B37:BL37)-#REF!-AV37-AP37-SUM(AY37:BL37)</f>
        <v>#REF!</v>
      </c>
      <c r="BT37" t="s">
        <v>114</v>
      </c>
    </row>
    <row r="38" spans="1:72">
      <c r="A38" s="7" t="s">
        <v>115</v>
      </c>
      <c r="B38" s="346">
        <f>SUM(G38:AV38)</f>
        <v>36959.42</v>
      </c>
      <c r="C38" s="375">
        <f t="shared" ref="C38:C39" si="47">SUM(E38:AV38)</f>
        <v>36959.42</v>
      </c>
      <c r="D38" s="375">
        <v>46656</v>
      </c>
      <c r="E38" s="8">
        <f>'2026 Labor Alloc $$'!F77</f>
        <v>0</v>
      </c>
      <c r="F38" s="8">
        <f>'2026 Labor Alloc $$'!G77</f>
        <v>0</v>
      </c>
      <c r="G38" s="8">
        <v>1000</v>
      </c>
      <c r="H38" s="8">
        <f>'June 2025 YTD'!D37*2+1500-189.15+128.75-25.64</f>
        <v>4701.96</v>
      </c>
      <c r="I38" s="8">
        <f>'June 2025 YTD'!E37*2</f>
        <v>0</v>
      </c>
      <c r="J38" s="8">
        <f>2200-863.34-439.67-6.42</f>
        <v>890.56999999999982</v>
      </c>
      <c r="K38" s="8">
        <f>'June 2025 YTD'!G37*2</f>
        <v>0</v>
      </c>
      <c r="L38" s="8">
        <f>'June 2025 YTD'!H37*2</f>
        <v>0</v>
      </c>
      <c r="M38" s="8">
        <f>'June 2025 YTD'!I37*2</f>
        <v>108.08</v>
      </c>
      <c r="N38" s="8">
        <f>'June 2025 YTD'!J37*2+863.34</f>
        <v>11174.64</v>
      </c>
      <c r="O38" s="8">
        <f>'June 2025 YTD'!K37*2+1800-318.28</f>
        <v>4751.1000000000004</v>
      </c>
      <c r="P38" s="8">
        <f>'June 2025 YTD'!L37*2</f>
        <v>0</v>
      </c>
      <c r="Q38" s="8">
        <f>'June 2025 YTD'!M37*2</f>
        <v>0</v>
      </c>
      <c r="R38" s="8">
        <f>'June 2025 YTD'!N37*2</f>
        <v>0</v>
      </c>
      <c r="S38" s="8">
        <f>'June 2025 YTD'!O37*2</f>
        <v>0</v>
      </c>
      <c r="T38" s="8">
        <f>'June 2025 YTD'!P37*2</f>
        <v>0</v>
      </c>
      <c r="U38" s="8">
        <f>'June 2025 YTD'!Q37*2</f>
        <v>0</v>
      </c>
      <c r="V38" s="8">
        <f>281.45-3.1</f>
        <v>278.34999999999997</v>
      </c>
      <c r="W38" s="8">
        <f>53.17-3.56</f>
        <v>49.61</v>
      </c>
      <c r="X38" s="8">
        <f>3500+1042.3</f>
        <v>4542.3</v>
      </c>
      <c r="Y38" s="8">
        <f>166.36-1.54</f>
        <v>164.82000000000002</v>
      </c>
      <c r="Z38" s="8">
        <f>592.9-2.95</f>
        <v>589.94999999999993</v>
      </c>
      <c r="AA38" s="8">
        <f>'June 2025 YTD'!W37*2</f>
        <v>0</v>
      </c>
      <c r="AB38" s="8">
        <f>1212.67-18.49</f>
        <v>1194.18</v>
      </c>
      <c r="AC38" s="8">
        <f>'June 2025 YTD'!Y37*2</f>
        <v>0</v>
      </c>
      <c r="AD38" s="8">
        <f>'June 2025 YTD'!Z37*2</f>
        <v>0</v>
      </c>
      <c r="AE38" s="8">
        <f>'June 2025 YTD'!AA37*2</f>
        <v>0</v>
      </c>
      <c r="AF38" s="8">
        <f>'June 2025 YTD'!AB37*2</f>
        <v>0</v>
      </c>
      <c r="AG38" s="8">
        <v>750</v>
      </c>
      <c r="AH38" s="8">
        <v>750</v>
      </c>
      <c r="AI38" s="8">
        <v>0</v>
      </c>
      <c r="AJ38" s="8">
        <f>'June 2025 YTD'!AE37*2</f>
        <v>0</v>
      </c>
      <c r="AK38" s="8">
        <f>'June 2025 YTD'!AL37*2</f>
        <v>0</v>
      </c>
      <c r="AL38" s="8">
        <f>'June 2025 YTD'!AM37*2</f>
        <v>0</v>
      </c>
      <c r="AM38" s="8">
        <f>'June 2025 YTD'!AO37*2</f>
        <v>0</v>
      </c>
      <c r="AN38" s="8">
        <f>'June 2025 YTD'!AN37*2</f>
        <v>0</v>
      </c>
      <c r="AO38" s="8">
        <f>'June 2025 YTD'!AO37*2</f>
        <v>0</v>
      </c>
      <c r="AP38" s="8">
        <f>'June 2025 YTD'!AM37*2</f>
        <v>0</v>
      </c>
      <c r="AQ38" s="8">
        <f>'June 2025 YTD'!AN37*2</f>
        <v>0</v>
      </c>
      <c r="AR38" s="8">
        <f>'June 2025 YTD'!AO37*2</f>
        <v>0</v>
      </c>
      <c r="AS38" s="8">
        <f>'June 2025 YTD'!AP37*2</f>
        <v>2439.96</v>
      </c>
      <c r="AT38" s="8">
        <f>2000+544.59-30.5+1076.22-16.41</f>
        <v>3573.9000000000005</v>
      </c>
      <c r="AU38" s="8">
        <f>'June 2025 YTD'!AR37*2</f>
        <v>0</v>
      </c>
      <c r="AV38" s="8">
        <f>'June 2025 YTD'!AS37*2</f>
        <v>0</v>
      </c>
      <c r="AW38" s="364"/>
      <c r="AX38" s="8">
        <f t="shared" si="46"/>
        <v>0</v>
      </c>
      <c r="AY38" s="8">
        <f>AY37*'June 2024 YTD'!$CB$38</f>
        <v>0</v>
      </c>
      <c r="AZ38" s="8">
        <f>AZ37*'June 2024 YTD'!$CB$38</f>
        <v>0</v>
      </c>
      <c r="BA38" s="8">
        <f>BA37*'June 2024 YTD'!$CB$38</f>
        <v>0</v>
      </c>
      <c r="BB38" s="8">
        <f>BB37*'June 2024 YTD'!$CB$38</f>
        <v>0</v>
      </c>
      <c r="BC38" s="8">
        <f>BC37*'June 2024 YTD'!$CB$38</f>
        <v>0</v>
      </c>
      <c r="BD38" s="8">
        <f>BD37*'June 2024 YTD'!$CB$38</f>
        <v>0</v>
      </c>
      <c r="BE38" s="8">
        <f>BE37*'June 2024 YTD'!$CB$38</f>
        <v>0</v>
      </c>
      <c r="BF38" s="8">
        <f>BF37*'June 2024 YTD'!$CB$38</f>
        <v>0</v>
      </c>
      <c r="BG38" s="8">
        <f>BG37*'June 2024 YTD'!$CB$38</f>
        <v>0</v>
      </c>
      <c r="BH38" s="8">
        <f>BH37*'June 2024 YTD'!$CB$38</f>
        <v>0</v>
      </c>
      <c r="BI38" s="8">
        <f>BI37*'June 2024 YTD'!$CB$38</f>
        <v>0</v>
      </c>
      <c r="BJ38" s="8">
        <f>BJ37*'June 2024 YTD'!$CB$38</f>
        <v>0</v>
      </c>
      <c r="BK38" s="8">
        <f>BK37*'June 2024 YTD'!$CB$38</f>
        <v>0</v>
      </c>
      <c r="BL38" s="8">
        <f>BL37*'June 2024 YTD'!$CB$38</f>
        <v>0</v>
      </c>
      <c r="BM38" s="8">
        <f>SUM(G38:BL38)</f>
        <v>36959.42</v>
      </c>
      <c r="BS38" s="8" t="e">
        <f>SUM(B38:BL38)-#REF!-AV38-AP38-SUM(AY38:BL38)</f>
        <v>#REF!</v>
      </c>
      <c r="BT38" t="s">
        <v>115</v>
      </c>
    </row>
    <row r="39" spans="1:72">
      <c r="A39" s="7" t="s">
        <v>116</v>
      </c>
      <c r="B39" s="346">
        <f>SUM(G39:AV39)</f>
        <v>77050</v>
      </c>
      <c r="C39" s="375">
        <f t="shared" si="47"/>
        <v>77050</v>
      </c>
      <c r="D39" s="375">
        <v>35200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8">
        <v>10000</v>
      </c>
      <c r="AV39" s="8">
        <f>1050+33000+33000</f>
        <v>67050</v>
      </c>
      <c r="AW39" s="364"/>
      <c r="AX39" s="8">
        <f t="shared" si="46"/>
        <v>0</v>
      </c>
      <c r="AY39" s="8">
        <v>0</v>
      </c>
      <c r="AZ39" s="8">
        <v>0</v>
      </c>
      <c r="BA39" s="8">
        <v>0</v>
      </c>
      <c r="BB39" s="8">
        <v>0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</v>
      </c>
      <c r="BL39" s="8">
        <v>0</v>
      </c>
      <c r="BM39" s="8">
        <f>SUM(G39:BL39)</f>
        <v>77050</v>
      </c>
      <c r="BS39" s="8" t="e">
        <f>SUM(B39:BL39)-#REF!-AV39-AP39-SUM(AY39:BL39)</f>
        <v>#REF!</v>
      </c>
      <c r="BT39" t="s">
        <v>116</v>
      </c>
    </row>
    <row r="40" spans="1:72">
      <c r="A40" s="9" t="s">
        <v>117</v>
      </c>
      <c r="B40" s="287">
        <f t="shared" ref="B40:BC40" si="48">SUM(B37:B39)</f>
        <v>4068033.2528096247</v>
      </c>
      <c r="C40" s="378">
        <f>SUM(C37:C39)</f>
        <v>4203137.6547014993</v>
      </c>
      <c r="D40" s="378">
        <f>SUM(D37:D39)</f>
        <v>4025950.65</v>
      </c>
      <c r="E40" s="10">
        <f>SUM(E37:E39)</f>
        <v>61049.906555624999</v>
      </c>
      <c r="F40" s="10">
        <f>SUM(F37:F39)</f>
        <v>74054.495336249995</v>
      </c>
      <c r="G40" s="10">
        <f t="shared" si="48"/>
        <v>515783.13817056239</v>
      </c>
      <c r="H40" s="10">
        <f t="shared" si="48"/>
        <v>374755.41350697499</v>
      </c>
      <c r="I40" s="10">
        <f t="shared" si="48"/>
        <v>73556.812120999995</v>
      </c>
      <c r="J40" s="10">
        <f t="shared" si="48"/>
        <v>93432.309630500007</v>
      </c>
      <c r="K40" s="10">
        <f t="shared" si="48"/>
        <v>36295.393836000003</v>
      </c>
      <c r="L40" s="10">
        <f t="shared" si="48"/>
        <v>103454.494362375</v>
      </c>
      <c r="M40" s="10">
        <f t="shared" si="48"/>
        <v>180696.60430775001</v>
      </c>
      <c r="N40" s="10">
        <f t="shared" si="48"/>
        <v>485694.46223962499</v>
      </c>
      <c r="O40" s="10">
        <f t="shared" si="48"/>
        <v>141710.17138862499</v>
      </c>
      <c r="P40" s="10">
        <f t="shared" si="48"/>
        <v>14637.80250928125</v>
      </c>
      <c r="Q40" s="10">
        <f t="shared" si="48"/>
        <v>118120.62234375</v>
      </c>
      <c r="R40" s="10">
        <f t="shared" si="48"/>
        <v>211478.97562837502</v>
      </c>
      <c r="S40" s="10">
        <f t="shared" si="48"/>
        <v>79319.587039875012</v>
      </c>
      <c r="T40" s="10">
        <f t="shared" si="48"/>
        <v>13366.852707</v>
      </c>
      <c r="U40" s="10">
        <f t="shared" si="48"/>
        <v>58815.646597500003</v>
      </c>
      <c r="V40" s="10">
        <f t="shared" si="48"/>
        <v>44976.162176874997</v>
      </c>
      <c r="W40" s="10">
        <f t="shared" si="48"/>
        <v>51445.729828625001</v>
      </c>
      <c r="X40" s="10">
        <f t="shared" si="48"/>
        <v>126112.91460375</v>
      </c>
      <c r="Y40" s="10">
        <f t="shared" si="48"/>
        <v>22327.329651562501</v>
      </c>
      <c r="Z40" s="10">
        <f t="shared" si="48"/>
        <v>43163.134692499996</v>
      </c>
      <c r="AA40" s="10">
        <f t="shared" si="48"/>
        <v>16772.915211</v>
      </c>
      <c r="AB40" s="10">
        <f t="shared" si="48"/>
        <v>267850.00042125001</v>
      </c>
      <c r="AC40" s="10">
        <f t="shared" ref="AC40:AD40" si="49">SUM(AC37:AC39)</f>
        <v>25991.831988750004</v>
      </c>
      <c r="AD40" s="10">
        <f t="shared" si="49"/>
        <v>6392.8425989999996</v>
      </c>
      <c r="AE40" s="10">
        <f t="shared" si="48"/>
        <v>7551.3819614999993</v>
      </c>
      <c r="AF40" s="10">
        <f t="shared" si="48"/>
        <v>3487.0050539999997</v>
      </c>
      <c r="AG40" s="10">
        <f t="shared" ref="AG40:AH40" si="50">SUM(AG37:AG39)</f>
        <v>245286.797739</v>
      </c>
      <c r="AH40" s="10">
        <f t="shared" si="50"/>
        <v>131249.75190646877</v>
      </c>
      <c r="AI40" s="10">
        <f t="shared" ref="AI40" si="51">SUM(AI37:AI39)</f>
        <v>31243.544114249999</v>
      </c>
      <c r="AJ40" s="10">
        <f t="shared" ref="AJ40:AO40" si="52">SUM(AJ37:AJ39)</f>
        <v>0</v>
      </c>
      <c r="AK40" s="10">
        <f t="shared" si="52"/>
        <v>2282.9950000000003</v>
      </c>
      <c r="AL40" s="10">
        <f t="shared" si="52"/>
        <v>3196.1930000000002</v>
      </c>
      <c r="AM40" s="10">
        <f t="shared" si="52"/>
        <v>9131.9800000000014</v>
      </c>
      <c r="AN40" s="10">
        <f t="shared" si="52"/>
        <v>3652.7920000000004</v>
      </c>
      <c r="AO40" s="10">
        <f t="shared" si="52"/>
        <v>0</v>
      </c>
      <c r="AP40" s="10">
        <f t="shared" si="48"/>
        <v>0</v>
      </c>
      <c r="AQ40" s="10">
        <f t="shared" si="48"/>
        <v>6204.2464575000004</v>
      </c>
      <c r="AR40" s="10">
        <f t="shared" si="48"/>
        <v>84353.799372124995</v>
      </c>
      <c r="AS40" s="10">
        <f t="shared" si="48"/>
        <v>25109.573458874998</v>
      </c>
      <c r="AT40" s="10">
        <f t="shared" si="48"/>
        <v>240225.74135839994</v>
      </c>
      <c r="AU40" s="10">
        <f t="shared" si="48"/>
        <v>101856.303825</v>
      </c>
      <c r="AV40" s="10">
        <f t="shared" si="48"/>
        <v>67050</v>
      </c>
      <c r="AW40" s="366"/>
      <c r="AX40" s="4">
        <f>SUM(AX37:AX39)</f>
        <v>0</v>
      </c>
      <c r="AY40" s="10">
        <f t="shared" si="48"/>
        <v>0</v>
      </c>
      <c r="AZ40" s="10">
        <f t="shared" si="48"/>
        <v>0</v>
      </c>
      <c r="BA40" s="10">
        <f t="shared" si="48"/>
        <v>0</v>
      </c>
      <c r="BB40" s="10">
        <f t="shared" si="48"/>
        <v>0</v>
      </c>
      <c r="BC40" s="10">
        <f t="shared" si="48"/>
        <v>0</v>
      </c>
      <c r="BD40" s="10">
        <f t="shared" ref="BD40:BM40" si="53">SUM(BD37:BD39)</f>
        <v>0</v>
      </c>
      <c r="BE40" s="10">
        <f t="shared" si="53"/>
        <v>0</v>
      </c>
      <c r="BF40" s="10">
        <f t="shared" si="53"/>
        <v>0</v>
      </c>
      <c r="BG40" s="10">
        <f t="shared" si="53"/>
        <v>0</v>
      </c>
      <c r="BH40" s="10">
        <f t="shared" si="53"/>
        <v>0</v>
      </c>
      <c r="BI40" s="10">
        <f t="shared" si="53"/>
        <v>0</v>
      </c>
      <c r="BJ40" s="10">
        <f t="shared" si="53"/>
        <v>0</v>
      </c>
      <c r="BK40" s="10">
        <f t="shared" si="53"/>
        <v>0</v>
      </c>
      <c r="BL40" s="10">
        <f t="shared" si="53"/>
        <v>0</v>
      </c>
      <c r="BM40" s="10">
        <f t="shared" si="53"/>
        <v>4068033.2528096247</v>
      </c>
      <c r="BS40" s="10" t="e">
        <f t="shared" ref="BS40" si="54">SUM(BS37:BS39)</f>
        <v>#REF!</v>
      </c>
      <c r="BT40" t="s">
        <v>117</v>
      </c>
    </row>
    <row r="41" spans="1:72">
      <c r="A41" s="6" t="s">
        <v>118</v>
      </c>
      <c r="B41" s="19"/>
      <c r="C41" s="82"/>
      <c r="D41" s="82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366"/>
      <c r="AX41" s="8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S41" s="4"/>
      <c r="BT41" t="s">
        <v>118</v>
      </c>
    </row>
    <row r="42" spans="1:72">
      <c r="A42" s="7" t="s">
        <v>119</v>
      </c>
      <c r="B42" s="346">
        <f>SUM(G42:AV42)</f>
        <v>302482.82320993615</v>
      </c>
      <c r="C42" s="375">
        <f>SUM(E42:AV42)</f>
        <v>312947.55995466455</v>
      </c>
      <c r="D42" s="375">
        <v>301723.24</v>
      </c>
      <c r="E42" s="8">
        <f>E37*0.0765+95.25+34</f>
        <v>4799.5678515053123</v>
      </c>
      <c r="F42" s="8">
        <f>F37*0.0765</f>
        <v>5665.1688932231245</v>
      </c>
      <c r="G42" s="8">
        <f>G37*0.0765</f>
        <v>39380.910070048019</v>
      </c>
      <c r="H42" s="8">
        <f t="shared" ref="H42:AI42" si="55">H37*0.0765</f>
        <v>28309.089193283584</v>
      </c>
      <c r="I42" s="8">
        <f t="shared" si="55"/>
        <v>5627.0961272564991</v>
      </c>
      <c r="J42" s="8">
        <f t="shared" si="55"/>
        <v>7079.4430817332495</v>
      </c>
      <c r="K42" s="8">
        <f t="shared" si="55"/>
        <v>2776.5976284540002</v>
      </c>
      <c r="L42" s="8">
        <f t="shared" si="55"/>
        <v>7914.2688187216872</v>
      </c>
      <c r="M42" s="8">
        <f t="shared" si="55"/>
        <v>13815.022109542877</v>
      </c>
      <c r="N42" s="8">
        <f t="shared" si="55"/>
        <v>36300.766401331311</v>
      </c>
      <c r="O42" s="8">
        <f t="shared" si="55"/>
        <v>10477.368961229811</v>
      </c>
      <c r="P42" s="8">
        <f t="shared" si="55"/>
        <v>1119.7918919600156</v>
      </c>
      <c r="Q42" s="8">
        <f t="shared" si="55"/>
        <v>9036.227609296875</v>
      </c>
      <c r="R42" s="8">
        <f t="shared" si="55"/>
        <v>16178.141635570688</v>
      </c>
      <c r="S42" s="8">
        <f t="shared" si="55"/>
        <v>6067.9484085504382</v>
      </c>
      <c r="T42" s="8">
        <f t="shared" si="55"/>
        <v>1022.5642320855</v>
      </c>
      <c r="U42" s="8">
        <f t="shared" si="55"/>
        <v>4499.3969647087497</v>
      </c>
      <c r="V42" s="8">
        <f t="shared" si="55"/>
        <v>3419.3826315309375</v>
      </c>
      <c r="W42" s="8">
        <f t="shared" si="55"/>
        <v>3931.8031668898125</v>
      </c>
      <c r="X42" s="8">
        <f t="shared" si="55"/>
        <v>9300.1520171868742</v>
      </c>
      <c r="Y42" s="8">
        <f t="shared" si="55"/>
        <v>1695.4319883445312</v>
      </c>
      <c r="Z42" s="8">
        <f t="shared" si="55"/>
        <v>3256.84862897625</v>
      </c>
      <c r="AA42" s="8">
        <f t="shared" si="55"/>
        <v>1283.1280136415</v>
      </c>
      <c r="AB42" s="8">
        <f t="shared" si="55"/>
        <v>20399.170262225627</v>
      </c>
      <c r="AC42" s="8">
        <f t="shared" ref="AC42:AD42" si="56">AC37*0.0765</f>
        <v>1988.3751471393753</v>
      </c>
      <c r="AD42" s="8">
        <f t="shared" si="56"/>
        <v>489.05245882349993</v>
      </c>
      <c r="AE42" s="8">
        <f t="shared" si="55"/>
        <v>577.68072005474994</v>
      </c>
      <c r="AF42" s="8">
        <f t="shared" si="55"/>
        <v>266.75588663099995</v>
      </c>
      <c r="AG42" s="8">
        <f t="shared" ref="AG42:AH42" si="57">AG37*0.0765</f>
        <v>18707.065027033499</v>
      </c>
      <c r="AH42" s="8">
        <f t="shared" si="57"/>
        <v>9983.2310208448598</v>
      </c>
      <c r="AI42" s="8">
        <f t="shared" si="55"/>
        <v>2390.131124740125</v>
      </c>
      <c r="AJ42" s="8">
        <f t="shared" ref="AJ42:AO42" si="58">AJ37*0.0765</f>
        <v>0</v>
      </c>
      <c r="AK42" s="8">
        <f t="shared" si="58"/>
        <v>174.64911750000002</v>
      </c>
      <c r="AL42" s="8">
        <f t="shared" si="58"/>
        <v>244.50876450000001</v>
      </c>
      <c r="AM42" s="8">
        <f t="shared" si="58"/>
        <v>698.59647000000007</v>
      </c>
      <c r="AN42" s="8">
        <f t="shared" si="58"/>
        <v>279.43858800000004</v>
      </c>
      <c r="AO42" s="8">
        <f t="shared" si="58"/>
        <v>0</v>
      </c>
      <c r="AP42" s="8">
        <f t="shared" ref="AP42:AV42" si="59">AP37*0.0765</f>
        <v>0</v>
      </c>
      <c r="AQ42" s="8">
        <f t="shared" si="59"/>
        <v>474.62485399875004</v>
      </c>
      <c r="AR42" s="8">
        <f t="shared" si="59"/>
        <v>6453.0656519675622</v>
      </c>
      <c r="AS42" s="8">
        <f t="shared" si="59"/>
        <v>1734.2254296039373</v>
      </c>
      <c r="AT42" s="8">
        <f t="shared" si="59"/>
        <v>18103.865863917596</v>
      </c>
      <c r="AU42" s="8">
        <f t="shared" si="59"/>
        <v>7027.0072426124998</v>
      </c>
      <c r="AV42" s="8">
        <f t="shared" si="59"/>
        <v>0</v>
      </c>
      <c r="AW42" s="364"/>
      <c r="AX42" s="8">
        <f t="shared" si="46"/>
        <v>0</v>
      </c>
      <c r="AY42" s="8">
        <f t="shared" ref="AY42:BL42" si="60">AY37*0.0765</f>
        <v>0</v>
      </c>
      <c r="AZ42" s="8">
        <f t="shared" si="60"/>
        <v>0</v>
      </c>
      <c r="BA42" s="8">
        <f t="shared" si="60"/>
        <v>0</v>
      </c>
      <c r="BB42" s="8">
        <f t="shared" si="60"/>
        <v>0</v>
      </c>
      <c r="BC42" s="8">
        <f t="shared" si="60"/>
        <v>0</v>
      </c>
      <c r="BD42" s="8">
        <f t="shared" si="60"/>
        <v>0</v>
      </c>
      <c r="BE42" s="8">
        <f t="shared" si="60"/>
        <v>0</v>
      </c>
      <c r="BF42" s="8">
        <f t="shared" si="60"/>
        <v>0</v>
      </c>
      <c r="BG42" s="8">
        <f t="shared" si="60"/>
        <v>0</v>
      </c>
      <c r="BH42" s="8">
        <f t="shared" si="60"/>
        <v>0</v>
      </c>
      <c r="BI42" s="8">
        <f t="shared" si="60"/>
        <v>0</v>
      </c>
      <c r="BJ42" s="8">
        <f t="shared" si="60"/>
        <v>0</v>
      </c>
      <c r="BK42" s="8">
        <f t="shared" si="60"/>
        <v>0</v>
      </c>
      <c r="BL42" s="8">
        <f t="shared" si="60"/>
        <v>0</v>
      </c>
      <c r="BM42" s="8">
        <f>SUM(G42:BL42)</f>
        <v>302482.82320993615</v>
      </c>
      <c r="BS42" s="8" t="e">
        <f>SUM(B42:BL42)-#REF!-AV42-AP42-SUM(AY42:BL42)</f>
        <v>#REF!</v>
      </c>
      <c r="BT42" t="s">
        <v>119</v>
      </c>
    </row>
    <row r="43" spans="1:72">
      <c r="A43" s="7" t="s">
        <v>624</v>
      </c>
      <c r="B43" s="346">
        <f>SUM(G43:AV43)</f>
        <v>2952.829999999999</v>
      </c>
      <c r="C43" s="375">
        <f>SUM(E43:AV43)</f>
        <v>3073.829999999999</v>
      </c>
      <c r="D43" s="375">
        <v>3014.59</v>
      </c>
      <c r="E43" s="8">
        <v>46</v>
      </c>
      <c r="F43" s="8">
        <v>75</v>
      </c>
      <c r="G43" s="8">
        <f>378.12</f>
        <v>378.12</v>
      </c>
      <c r="H43" s="8">
        <v>281.42</v>
      </c>
      <c r="I43" s="8">
        <v>54.23</v>
      </c>
      <c r="J43" s="8">
        <v>54.56</v>
      </c>
      <c r="K43" s="8">
        <v>30.2</v>
      </c>
      <c r="L43" s="8">
        <v>77.64</v>
      </c>
      <c r="M43" s="8">
        <v>139.46</v>
      </c>
      <c r="N43" s="8">
        <f>301.11-32.89</f>
        <v>268.22000000000003</v>
      </c>
      <c r="O43" s="8">
        <f>136.39-9.5</f>
        <v>126.88999999999999</v>
      </c>
      <c r="P43" s="8">
        <v>23.47</v>
      </c>
      <c r="Q43" s="8">
        <v>94.26</v>
      </c>
      <c r="R43" s="8">
        <v>170.15</v>
      </c>
      <c r="S43" s="8">
        <v>42.11</v>
      </c>
      <c r="T43" s="8">
        <v>10.99</v>
      </c>
      <c r="U43" s="8">
        <v>45.51</v>
      </c>
      <c r="V43" s="8">
        <v>35.82</v>
      </c>
      <c r="W43" s="8">
        <v>41.69</v>
      </c>
      <c r="X43" s="8">
        <v>97.99</v>
      </c>
      <c r="Y43" s="8">
        <v>17.84</v>
      </c>
      <c r="Z43" s="8">
        <v>34.06</v>
      </c>
      <c r="AA43" s="8">
        <v>14.74</v>
      </c>
      <c r="AB43" s="8">
        <v>198.01</v>
      </c>
      <c r="AC43" s="8">
        <v>0</v>
      </c>
      <c r="AD43" s="8">
        <v>0</v>
      </c>
      <c r="AE43" s="8">
        <v>5.95</v>
      </c>
      <c r="AF43" s="8">
        <v>2.1800000000000002</v>
      </c>
      <c r="AG43" s="8">
        <v>257.11</v>
      </c>
      <c r="AH43" s="8">
        <v>90.81</v>
      </c>
      <c r="AI43" s="8">
        <v>20.27</v>
      </c>
      <c r="AJ43" s="8">
        <v>4.93</v>
      </c>
      <c r="AK43" s="8">
        <v>5.16</v>
      </c>
      <c r="AL43" s="8">
        <v>5.5</v>
      </c>
      <c r="AM43" s="8">
        <v>28.44</v>
      </c>
      <c r="AN43" s="8">
        <v>7.42</v>
      </c>
      <c r="AO43" s="8" t="s">
        <v>625</v>
      </c>
      <c r="AP43" s="8" t="s">
        <v>625</v>
      </c>
      <c r="AQ43" s="8" t="s">
        <v>625</v>
      </c>
      <c r="AR43" s="8">
        <v>114.35</v>
      </c>
      <c r="AS43" s="8">
        <v>31.57</v>
      </c>
      <c r="AT43" s="8">
        <v>141.76</v>
      </c>
      <c r="AU43" s="8" t="s">
        <v>625</v>
      </c>
      <c r="AV43" s="8" t="s">
        <v>625</v>
      </c>
      <c r="AW43" s="364"/>
      <c r="AX43" s="8">
        <f t="shared" si="46"/>
        <v>0</v>
      </c>
      <c r="AY43" s="8" t="s">
        <v>625</v>
      </c>
      <c r="AZ43" s="8" t="s">
        <v>625</v>
      </c>
      <c r="BA43" s="8" t="s">
        <v>625</v>
      </c>
      <c r="BB43" s="8" t="s">
        <v>625</v>
      </c>
      <c r="BC43" s="8" t="s">
        <v>625</v>
      </c>
      <c r="BD43" s="8" t="s">
        <v>625</v>
      </c>
      <c r="BE43" s="8" t="s">
        <v>625</v>
      </c>
      <c r="BF43" s="8" t="s">
        <v>625</v>
      </c>
      <c r="BG43" s="8" t="s">
        <v>625</v>
      </c>
      <c r="BH43" s="8" t="s">
        <v>625</v>
      </c>
      <c r="BI43" s="8" t="s">
        <v>625</v>
      </c>
      <c r="BJ43" s="8" t="s">
        <v>625</v>
      </c>
      <c r="BK43" s="8" t="s">
        <v>625</v>
      </c>
      <c r="BL43" s="8" t="s">
        <v>625</v>
      </c>
      <c r="BM43" s="8">
        <f>SUM(G43:BL43)</f>
        <v>2952.829999999999</v>
      </c>
      <c r="BS43" s="8">
        <v>3000</v>
      </c>
      <c r="BT43" t="s">
        <v>120</v>
      </c>
    </row>
    <row r="44" spans="1:72">
      <c r="A44" s="9" t="s">
        <v>121</v>
      </c>
      <c r="B44" s="287">
        <f t="shared" ref="B44:BC44" si="61">SUM(B42:B43)</f>
        <v>305435.65320993616</v>
      </c>
      <c r="C44" s="377">
        <f t="shared" si="61"/>
        <v>316021.38995466457</v>
      </c>
      <c r="D44" s="378">
        <f>SUM(D42:D43)</f>
        <v>304737.83</v>
      </c>
      <c r="E44" s="10">
        <f>SUM(E42:E43)</f>
        <v>4845.5678515053123</v>
      </c>
      <c r="F44" s="10">
        <f>SUM(F42:F43)</f>
        <v>5740.1688932231245</v>
      </c>
      <c r="G44" s="10">
        <f t="shared" si="61"/>
        <v>39759.030070048022</v>
      </c>
      <c r="H44" s="10">
        <f t="shared" si="61"/>
        <v>28590.509193283582</v>
      </c>
      <c r="I44" s="10">
        <f t="shared" si="61"/>
        <v>5681.3261272564987</v>
      </c>
      <c r="J44" s="10">
        <f t="shared" si="61"/>
        <v>7134.0030817332499</v>
      </c>
      <c r="K44" s="10">
        <f t="shared" si="61"/>
        <v>2806.797628454</v>
      </c>
      <c r="L44" s="10">
        <f t="shared" si="61"/>
        <v>7991.9088187216876</v>
      </c>
      <c r="M44" s="10">
        <f t="shared" si="61"/>
        <v>13954.482109542876</v>
      </c>
      <c r="N44" s="10">
        <f t="shared" si="61"/>
        <v>36568.986401331313</v>
      </c>
      <c r="O44" s="10">
        <f t="shared" si="61"/>
        <v>10604.258961229811</v>
      </c>
      <c r="P44" s="10">
        <f t="shared" si="61"/>
        <v>1143.2618919600156</v>
      </c>
      <c r="Q44" s="10">
        <f t="shared" si="61"/>
        <v>9130.4876092968752</v>
      </c>
      <c r="R44" s="10">
        <f t="shared" si="61"/>
        <v>16348.291635570688</v>
      </c>
      <c r="S44" s="10">
        <f t="shared" si="61"/>
        <v>6110.0584085504379</v>
      </c>
      <c r="T44" s="10">
        <f t="shared" si="61"/>
        <v>1033.5542320855</v>
      </c>
      <c r="U44" s="10">
        <f t="shared" si="61"/>
        <v>4544.9069647087499</v>
      </c>
      <c r="V44" s="10">
        <f t="shared" si="61"/>
        <v>3455.2026315309377</v>
      </c>
      <c r="W44" s="10">
        <f t="shared" si="61"/>
        <v>3973.4931668898125</v>
      </c>
      <c r="X44" s="10">
        <f t="shared" si="61"/>
        <v>9398.142017186874</v>
      </c>
      <c r="Y44" s="10">
        <f t="shared" si="61"/>
        <v>1713.2719883445311</v>
      </c>
      <c r="Z44" s="10">
        <f t="shared" si="61"/>
        <v>3290.9086289762499</v>
      </c>
      <c r="AA44" s="10">
        <f t="shared" si="61"/>
        <v>1297.8680136415001</v>
      </c>
      <c r="AB44" s="10">
        <f t="shared" si="61"/>
        <v>20597.180262225625</v>
      </c>
      <c r="AC44" s="10">
        <f t="shared" ref="AC44:AD44" si="62">SUM(AC42:AC43)</f>
        <v>1988.3751471393753</v>
      </c>
      <c r="AD44" s="10">
        <f t="shared" si="62"/>
        <v>489.05245882349993</v>
      </c>
      <c r="AE44" s="10">
        <f t="shared" si="61"/>
        <v>583.63072005474999</v>
      </c>
      <c r="AF44" s="10">
        <f t="shared" si="61"/>
        <v>268.93588663099996</v>
      </c>
      <c r="AG44" s="10">
        <f t="shared" ref="AG44:AH44" si="63">SUM(AG42:AG43)</f>
        <v>18964.1750270335</v>
      </c>
      <c r="AH44" s="10">
        <f t="shared" si="63"/>
        <v>10074.041020844859</v>
      </c>
      <c r="AI44" s="10">
        <f t="shared" ref="AI44" si="64">SUM(AI42:AI43)</f>
        <v>2410.4011247401249</v>
      </c>
      <c r="AJ44" s="10">
        <f t="shared" ref="AJ44:AO44" si="65">SUM(AJ42:AJ43)</f>
        <v>4.93</v>
      </c>
      <c r="AK44" s="10">
        <f t="shared" si="65"/>
        <v>179.80911750000001</v>
      </c>
      <c r="AL44" s="10">
        <f t="shared" si="65"/>
        <v>250.00876450000001</v>
      </c>
      <c r="AM44" s="10">
        <f t="shared" si="65"/>
        <v>727.03647000000012</v>
      </c>
      <c r="AN44" s="10">
        <f t="shared" si="65"/>
        <v>286.85858800000005</v>
      </c>
      <c r="AO44" s="10">
        <f t="shared" si="65"/>
        <v>0</v>
      </c>
      <c r="AP44" s="10">
        <f t="shared" si="61"/>
        <v>0</v>
      </c>
      <c r="AQ44" s="10">
        <f t="shared" si="61"/>
        <v>474.62485399875004</v>
      </c>
      <c r="AR44" s="10">
        <f t="shared" si="61"/>
        <v>6567.4156519675626</v>
      </c>
      <c r="AS44" s="10">
        <f t="shared" si="61"/>
        <v>1765.7954296039372</v>
      </c>
      <c r="AT44" s="10">
        <f t="shared" si="61"/>
        <v>18245.625863917594</v>
      </c>
      <c r="AU44" s="10">
        <f t="shared" si="61"/>
        <v>7027.0072426124998</v>
      </c>
      <c r="AV44" s="10">
        <f t="shared" si="61"/>
        <v>0</v>
      </c>
      <c r="AW44" s="366"/>
      <c r="AX44" s="4">
        <f t="shared" si="46"/>
        <v>0</v>
      </c>
      <c r="AY44" s="10">
        <f t="shared" si="61"/>
        <v>0</v>
      </c>
      <c r="AZ44" s="10">
        <f t="shared" si="61"/>
        <v>0</v>
      </c>
      <c r="BA44" s="10">
        <f t="shared" si="61"/>
        <v>0</v>
      </c>
      <c r="BB44" s="10">
        <f t="shared" si="61"/>
        <v>0</v>
      </c>
      <c r="BC44" s="10">
        <f t="shared" si="61"/>
        <v>0</v>
      </c>
      <c r="BD44" s="10">
        <f t="shared" ref="BD44:BM44" si="66">SUM(BD42:BD43)</f>
        <v>0</v>
      </c>
      <c r="BE44" s="10">
        <f t="shared" si="66"/>
        <v>0</v>
      </c>
      <c r="BF44" s="10">
        <f t="shared" si="66"/>
        <v>0</v>
      </c>
      <c r="BG44" s="10">
        <f t="shared" si="66"/>
        <v>0</v>
      </c>
      <c r="BH44" s="10">
        <f t="shared" si="66"/>
        <v>0</v>
      </c>
      <c r="BI44" s="10">
        <f t="shared" si="66"/>
        <v>0</v>
      </c>
      <c r="BJ44" s="10">
        <f t="shared" si="66"/>
        <v>0</v>
      </c>
      <c r="BK44" s="10">
        <f t="shared" si="66"/>
        <v>0</v>
      </c>
      <c r="BL44" s="10">
        <f t="shared" si="66"/>
        <v>0</v>
      </c>
      <c r="BM44" s="10">
        <f t="shared" si="66"/>
        <v>305435.65320993616</v>
      </c>
      <c r="BS44" s="10" t="e">
        <f t="shared" ref="BS44" si="67">SUM(BS42:BS43)</f>
        <v>#REF!</v>
      </c>
      <c r="BT44" t="s">
        <v>121</v>
      </c>
    </row>
    <row r="45" spans="1:72">
      <c r="A45" s="6" t="s">
        <v>122</v>
      </c>
      <c r="B45" s="19"/>
      <c r="C45" s="82"/>
      <c r="D45" s="82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366"/>
      <c r="AX45" s="8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S45" s="4"/>
      <c r="BT45" t="s">
        <v>122</v>
      </c>
    </row>
    <row r="46" spans="1:72">
      <c r="A46" s="7" t="s">
        <v>123</v>
      </c>
      <c r="B46" s="346">
        <v>640000</v>
      </c>
      <c r="C46" s="389">
        <f>SUM(E46:AV46)</f>
        <v>639988.95739509852</v>
      </c>
      <c r="D46" s="375">
        <v>662402.74</v>
      </c>
      <c r="E46" s="376">
        <f>$B$46*'2026 Labor Alloc $$'!AX78</f>
        <v>9555.078235019495</v>
      </c>
      <c r="F46" s="376">
        <f>$B$46*'2026 Labor Alloc $$'!AY78</f>
        <v>11590.45994522589</v>
      </c>
      <c r="G46" s="376">
        <f>$B$46*'2026 Labor Alloc $$'!$H$78</f>
        <v>81530.035841199293</v>
      </c>
      <c r="H46" s="376">
        <f>$B$46*'2026 Labor Alloc $$'!I78</f>
        <v>57918.019844577575</v>
      </c>
      <c r="I46" s="376">
        <f>$B$46*'2026 Labor Alloc $$'!J78</f>
        <v>11512.566262397122</v>
      </c>
      <c r="J46" s="376">
        <f>$B$46*'2026 Labor Alloc $$'!K78</f>
        <v>14483.946201761375</v>
      </c>
      <c r="K46" s="376">
        <f>$B$46*'2026 Labor Alloc $$'!L78</f>
        <v>5680.6856429474828</v>
      </c>
      <c r="L46" s="376">
        <f>$B$46*'2026 Labor Alloc $$'!M78</f>
        <v>16191.929573163236</v>
      </c>
      <c r="M46" s="376">
        <f>$B$46*'2026 Labor Alloc $$'!N78</f>
        <v>28264.375417758671</v>
      </c>
      <c r="N46" s="376">
        <f>$B$46*'2026 Labor Alloc $$'!O78</f>
        <v>74268.320483602787</v>
      </c>
      <c r="O46" s="376">
        <f>$B$46*'2026 Labor Alloc $$'!P78</f>
        <v>21435.817283709755</v>
      </c>
      <c r="P46" s="376">
        <f>$B$46*'2026 Labor Alloc $$'!Q78</f>
        <v>2291.0002005901538</v>
      </c>
      <c r="Q46" s="376">
        <f>$B$46*'2026 Labor Alloc $$'!R78</f>
        <v>18487.363066401478</v>
      </c>
      <c r="R46" s="376">
        <f>$B$46*'2026 Labor Alloc $$'!S78</f>
        <v>33099.119576043347</v>
      </c>
      <c r="S46" s="376">
        <f>$B$46*'2026 Labor Alloc $$'!T78</f>
        <v>12414.51301886739</v>
      </c>
      <c r="T46" s="376">
        <f>$B$46*'2026 Labor Alloc $$'!U78</f>
        <v>2092.0805710815484</v>
      </c>
      <c r="U46" s="376">
        <f>$B$46*'2026 Labor Alloc $$'!V78</f>
        <v>9205.3884500268796</v>
      </c>
      <c r="V46" s="376">
        <f>$B$46*'2026 Labor Alloc $$'!W78</f>
        <v>6995.7697952429789</v>
      </c>
      <c r="W46" s="376">
        <f>$B$46*'2026 Labor Alloc $$'!X78</f>
        <v>8044.1391911303481</v>
      </c>
      <c r="X46" s="376">
        <f>$B$46*'2026 Labor Alloc $$'!Y78</f>
        <v>19027.330247587513</v>
      </c>
      <c r="Y46" s="376">
        <f>$B$46*'2026 Labor Alloc $$'!Z78</f>
        <v>3468.7115108375683</v>
      </c>
      <c r="Z46" s="376">
        <f>$B$46*'2026 Labor Alloc $$'!AA78</f>
        <v>6663.2388713016162</v>
      </c>
      <c r="AA46" s="376">
        <f>$B$46*'2026 Labor Alloc $$'!AB78</f>
        <v>2625.1721929242972</v>
      </c>
      <c r="AB46" s="376">
        <f>$B$46*'2026 Labor Alloc $$'!AC78</f>
        <v>41734.989776386377</v>
      </c>
      <c r="AC46" s="376">
        <f>$B$46*'2026 Labor Alloc $$'!AD78</f>
        <v>4068.0486201515059</v>
      </c>
      <c r="AD46" s="376">
        <f>$B$46*'2026 Labor Alloc $$'!AE78</f>
        <v>1000.5602731259579</v>
      </c>
      <c r="AE46" s="376">
        <f>$B$46*'2026 Labor Alloc $$'!AF78</f>
        <v>1181.8862549593755</v>
      </c>
      <c r="AF46" s="376">
        <f>$B$46*'2026 Labor Alloc $$'!AG78</f>
        <v>545.76014897779521</v>
      </c>
      <c r="AG46" s="376">
        <f>$B$46*'2026 Labor Alloc $$'!AH78</f>
        <v>38273.084523206322</v>
      </c>
      <c r="AH46" s="376">
        <f>$B$46*'2026 Labor Alloc $$'!AI78</f>
        <v>20424.852542252644</v>
      </c>
      <c r="AI46" s="376">
        <f>$B$46*'2026 Labor Alloc $$'!AJ78</f>
        <v>4890.0076215339486</v>
      </c>
      <c r="AJ46" s="376">
        <f>$B$46*'2026 Labor Alloc $$'!AK78</f>
        <v>0</v>
      </c>
      <c r="AK46" s="376">
        <f>$B$46*'2026 Labor Alloc $$'!AL78</f>
        <v>357.31743201412689</v>
      </c>
      <c r="AL46" s="376">
        <f>$B$46*'2026 Labor Alloc $$'!AM78</f>
        <v>500.24440481977757</v>
      </c>
      <c r="AM46" s="376">
        <f>$B$46*'2026 Labor Alloc $$'!AN78</f>
        <v>1429.2697280565076</v>
      </c>
      <c r="AN46" s="376">
        <f>$B$46*'2026 Labor Alloc $$'!AO78</f>
        <v>571.70789122260294</v>
      </c>
      <c r="AO46" s="376">
        <f>$B$46*'2026 Labor Alloc $$'!AP78</f>
        <v>0</v>
      </c>
      <c r="AP46" s="376">
        <f>$B$46*'2026 Labor Alloc $$'!AQ78</f>
        <v>0</v>
      </c>
      <c r="AQ46" s="376">
        <f>$B$46*'2026 Labor Alloc $$'!AR78</f>
        <v>0</v>
      </c>
      <c r="AR46" s="376">
        <f>$B$46*'2026 Labor Alloc $$'!AS78</f>
        <v>13202.430566988787</v>
      </c>
      <c r="AS46" s="376">
        <f>$B$46*'2026 Labor Alloc $$'!AT78</f>
        <v>3548.0796348122108</v>
      </c>
      <c r="AT46" s="376">
        <f>$B$46*'2026 Labor Alloc $$'!AU78</f>
        <v>37038.989676104415</v>
      </c>
      <c r="AU46" s="376">
        <f>$B$46*'2026 Labor Alloc $$'!AV78</f>
        <v>14376.666877088393</v>
      </c>
      <c r="AV46" s="376">
        <f>$B$46*'2026 Labor Alloc $$'!AW78</f>
        <v>0</v>
      </c>
      <c r="AW46" s="369"/>
      <c r="AX46" s="8">
        <f t="shared" si="46"/>
        <v>0</v>
      </c>
      <c r="AY46" s="376">
        <f t="shared" ref="AY46:BL46" si="68">AY301</f>
        <v>0</v>
      </c>
      <c r="AZ46" s="376">
        <f t="shared" si="68"/>
        <v>0</v>
      </c>
      <c r="BA46" s="376">
        <f t="shared" si="68"/>
        <v>0</v>
      </c>
      <c r="BB46" s="376">
        <f t="shared" si="68"/>
        <v>0</v>
      </c>
      <c r="BC46" s="376">
        <f t="shared" si="68"/>
        <v>0</v>
      </c>
      <c r="BD46" s="376">
        <f t="shared" si="68"/>
        <v>0</v>
      </c>
      <c r="BE46" s="376">
        <f t="shared" si="68"/>
        <v>0</v>
      </c>
      <c r="BF46" s="376">
        <f t="shared" si="68"/>
        <v>0</v>
      </c>
      <c r="BG46" s="376">
        <f t="shared" si="68"/>
        <v>0</v>
      </c>
      <c r="BH46" s="376">
        <f t="shared" si="68"/>
        <v>0</v>
      </c>
      <c r="BI46" s="376">
        <f t="shared" si="68"/>
        <v>0</v>
      </c>
      <c r="BJ46" s="376">
        <f t="shared" si="68"/>
        <v>0</v>
      </c>
      <c r="BK46" s="376">
        <f t="shared" si="68"/>
        <v>0</v>
      </c>
      <c r="BL46" s="376">
        <f t="shared" si="68"/>
        <v>0</v>
      </c>
      <c r="BM46" s="376">
        <f t="shared" ref="BM46:BM53" si="69">SUM(G46:BL46)</f>
        <v>618843.4192148532</v>
      </c>
      <c r="BS46" s="8" t="e">
        <f>SUM(B46:BL46)-#REF!-AV46-AP46-SUM(AY46:BL46)</f>
        <v>#REF!</v>
      </c>
      <c r="BT46" t="s">
        <v>123</v>
      </c>
    </row>
    <row r="47" spans="1:72">
      <c r="A47" s="7" t="s">
        <v>124</v>
      </c>
      <c r="B47" s="285">
        <v>6350</v>
      </c>
      <c r="C47" s="389">
        <f t="shared" ref="C47:C53" si="70">SUM(E47:AV47)</f>
        <v>6349.8904366544939</v>
      </c>
      <c r="D47" s="375">
        <v>6891.68</v>
      </c>
      <c r="E47" s="376">
        <f>$B$47*'2026 Labor Alloc $$'!AX78</f>
        <v>94.80429186308406</v>
      </c>
      <c r="F47" s="376">
        <f>$B$47*'2026 Labor Alloc $$'!AY78</f>
        <v>114.99909476903814</v>
      </c>
      <c r="G47" s="376">
        <f>$B$47*'2026 Labor Alloc $$'!H78</f>
        <v>808.93082436189923</v>
      </c>
      <c r="H47" s="376">
        <f>$B$47*'2026 Labor Alloc $$'!I78</f>
        <v>574.65535314541808</v>
      </c>
      <c r="I47" s="376">
        <f>$B$47*'2026 Labor Alloc $$'!J78</f>
        <v>114.22624338472144</v>
      </c>
      <c r="J47" s="376">
        <f>$B$47*'2026 Labor Alloc $$'!K78</f>
        <v>143.70790372060114</v>
      </c>
      <c r="K47" s="376">
        <f>$B$47*'2026 Labor Alloc $$'!L78</f>
        <v>56.363052863619558</v>
      </c>
      <c r="L47" s="376">
        <f>$B$47*'2026 Labor Alloc $$'!M78</f>
        <v>160.65430123372897</v>
      </c>
      <c r="M47" s="376">
        <f>$B$47*'2026 Labor Alloc $$'!N78</f>
        <v>280.43559984807433</v>
      </c>
      <c r="N47" s="376">
        <f>$B$47*'2026 Labor Alloc $$'!O78</f>
        <v>736.8809922982465</v>
      </c>
      <c r="O47" s="376">
        <f>$B$47*'2026 Labor Alloc $$'!P78</f>
        <v>212.68349961180775</v>
      </c>
      <c r="P47" s="376">
        <f>$B$47*'2026 Labor Alloc $$'!Q78</f>
        <v>22.731017615230435</v>
      </c>
      <c r="Q47" s="376">
        <f>$B$47*'2026 Labor Alloc $$'!R78</f>
        <v>183.42930542445217</v>
      </c>
      <c r="R47" s="376">
        <f>$B$47*'2026 Labor Alloc $$'!S78</f>
        <v>328.40532704355508</v>
      </c>
      <c r="S47" s="376">
        <f>$B$47*'2026 Labor Alloc $$'!T78</f>
        <v>123.17524635907489</v>
      </c>
      <c r="T47" s="376">
        <f>$B$47*'2026 Labor Alloc $$'!U78</f>
        <v>20.757361916199738</v>
      </c>
      <c r="U47" s="376">
        <f>$B$47*'2026 Labor Alloc $$'!V78</f>
        <v>91.334713527610447</v>
      </c>
      <c r="V47" s="376">
        <f>$B$47*'2026 Labor Alloc $$'!W78</f>
        <v>69.411153437176424</v>
      </c>
      <c r="W47" s="376">
        <f>$B$47*'2026 Labor Alloc $$'!X78</f>
        <v>79.812943536996428</v>
      </c>
      <c r="X47" s="376">
        <f>$B$47*'2026 Labor Alloc $$'!Y78</f>
        <v>188.78679230028237</v>
      </c>
      <c r="Y47" s="376">
        <f>$B$47*'2026 Labor Alloc $$'!Z78</f>
        <v>34.416122021591498</v>
      </c>
      <c r="Z47" s="376">
        <f>$B$47*'2026 Labor Alloc $$'!AA78</f>
        <v>66.111823176195728</v>
      </c>
      <c r="AA47" s="376">
        <f>$B$47*'2026 Labor Alloc $$'!AB78</f>
        <v>26.04663035167076</v>
      </c>
      <c r="AB47" s="376">
        <f>$B$47*'2026 Labor Alloc $$'!AC78</f>
        <v>414.08935168758359</v>
      </c>
      <c r="AC47" s="376">
        <f>$B$47*'2026 Labor Alloc $$'!AD78</f>
        <v>40.362669903065722</v>
      </c>
      <c r="AD47" s="376">
        <f>$B$47*'2026 Labor Alloc $$'!AE78</f>
        <v>9.927433959921613</v>
      </c>
      <c r="AE47" s="376">
        <f>$B$47*'2026 Labor Alloc $$'!AF78</f>
        <v>11.726527685925054</v>
      </c>
      <c r="AF47" s="376">
        <f>$B$47*'2026 Labor Alloc $$'!AG78</f>
        <v>5.4149639781390624</v>
      </c>
      <c r="AG47" s="376">
        <f>$B$47*'2026 Labor Alloc $$'!AH78</f>
        <v>379.74076050368774</v>
      </c>
      <c r="AH47" s="376">
        <f>$B$47*'2026 Labor Alloc $$'!AI78</f>
        <v>202.65283381766295</v>
      </c>
      <c r="AI47" s="376">
        <f>$B$47*'2026 Labor Alloc $$'!AJ78</f>
        <v>48.518044369907145</v>
      </c>
      <c r="AJ47" s="376">
        <f>$B$47*'2026 Labor Alloc $$'!AK78</f>
        <v>0</v>
      </c>
      <c r="AK47" s="376">
        <f>$B$47*'2026 Labor Alloc $$'!AL78</f>
        <v>3.5452588957651652</v>
      </c>
      <c r="AL47" s="376">
        <f>$B$47*'2026 Labor Alloc $$'!AM78</f>
        <v>4.9633624540712304</v>
      </c>
      <c r="AM47" s="376">
        <f>$B$47*'2026 Labor Alloc $$'!AN78</f>
        <v>14.181035583060661</v>
      </c>
      <c r="AN47" s="376">
        <f>$B$47*'2026 Labor Alloc $$'!AO78</f>
        <v>5.6724142332242637</v>
      </c>
      <c r="AO47" s="376">
        <f>$B$47*'2026 Labor Alloc $$'!AP78</f>
        <v>0</v>
      </c>
      <c r="AP47" s="376">
        <f>$B$47*'2026 Labor Alloc $$'!AQ78</f>
        <v>0</v>
      </c>
      <c r="AQ47" s="376">
        <f>$B$47*'2026 Labor Alloc $$'!AR78</f>
        <v>0</v>
      </c>
      <c r="AR47" s="376">
        <f>$B$47*'2026 Labor Alloc $$'!AS78</f>
        <v>130.99286578184189</v>
      </c>
      <c r="AS47" s="376">
        <f>$B$47*'2026 Labor Alloc $$'!AT78</f>
        <v>35.203602626652405</v>
      </c>
      <c r="AT47" s="376">
        <f>$B$47*'2026 Labor Alloc $$'!AU78</f>
        <v>367.4962256925985</v>
      </c>
      <c r="AU47" s="376">
        <f>$B$47*'2026 Labor Alloc $$'!AV78</f>
        <v>142.64349167111141</v>
      </c>
      <c r="AV47" s="376">
        <f>$B$47*'2026 Labor Alloc $$'!AW78</f>
        <v>0</v>
      </c>
      <c r="AW47" s="369"/>
      <c r="AX47" s="8">
        <f t="shared" si="46"/>
        <v>0</v>
      </c>
      <c r="AY47" s="376">
        <f t="shared" ref="AY47:BL47" si="71">AY302</f>
        <v>0</v>
      </c>
      <c r="AZ47" s="376">
        <f t="shared" si="71"/>
        <v>0</v>
      </c>
      <c r="BA47" s="376">
        <f t="shared" si="71"/>
        <v>0</v>
      </c>
      <c r="BB47" s="376">
        <f t="shared" si="71"/>
        <v>0</v>
      </c>
      <c r="BC47" s="376">
        <f t="shared" si="71"/>
        <v>0</v>
      </c>
      <c r="BD47" s="376">
        <f t="shared" si="71"/>
        <v>0</v>
      </c>
      <c r="BE47" s="376">
        <f t="shared" si="71"/>
        <v>0</v>
      </c>
      <c r="BF47" s="376">
        <f t="shared" si="71"/>
        <v>0</v>
      </c>
      <c r="BG47" s="376">
        <f t="shared" si="71"/>
        <v>0</v>
      </c>
      <c r="BH47" s="376">
        <f t="shared" si="71"/>
        <v>0</v>
      </c>
      <c r="BI47" s="376">
        <f t="shared" si="71"/>
        <v>0</v>
      </c>
      <c r="BJ47" s="376">
        <f t="shared" si="71"/>
        <v>0</v>
      </c>
      <c r="BK47" s="376">
        <f t="shared" si="71"/>
        <v>0</v>
      </c>
      <c r="BL47" s="376">
        <f t="shared" si="71"/>
        <v>0</v>
      </c>
      <c r="BM47" s="376">
        <f t="shared" si="69"/>
        <v>6140.0870500223709</v>
      </c>
      <c r="BS47" s="8" t="e">
        <f>SUM(B47:BL47)-#REF!-AV47-AP47-SUM(AY47:BL47)</f>
        <v>#REF!</v>
      </c>
      <c r="BT47" t="s">
        <v>124</v>
      </c>
    </row>
    <row r="48" spans="1:72">
      <c r="A48" s="7" t="s">
        <v>125</v>
      </c>
      <c r="B48" s="285">
        <v>0</v>
      </c>
      <c r="C48" s="389">
        <f t="shared" si="70"/>
        <v>0</v>
      </c>
      <c r="D48" s="375">
        <v>3043.66</v>
      </c>
      <c r="E48" s="376">
        <f>$B$48*'2026 Labor Alloc $$'!AX80</f>
        <v>0</v>
      </c>
      <c r="F48" s="376">
        <f>$B$48*'2026 Labor Alloc $$'!AY80</f>
        <v>0</v>
      </c>
      <c r="G48" s="376">
        <f>$B$48*'2026 Labor Alloc $$'!$H$78</f>
        <v>0</v>
      </c>
      <c r="H48" s="376">
        <f>$B$48*'2026 Labor Alloc $$'!$H$78</f>
        <v>0</v>
      </c>
      <c r="I48" s="376">
        <f>$B$48*'2026 Labor Alloc $$'!$H$78</f>
        <v>0</v>
      </c>
      <c r="J48" s="376">
        <f>$B$48*'2026 Labor Alloc $$'!$H$78</f>
        <v>0</v>
      </c>
      <c r="K48" s="376">
        <f>$B$48*'2026 Labor Alloc $$'!$H$78</f>
        <v>0</v>
      </c>
      <c r="L48" s="376">
        <f>$B$48*'2026 Labor Alloc $$'!$H$78</f>
        <v>0</v>
      </c>
      <c r="M48" s="376">
        <f>$B$48*'2026 Labor Alloc $$'!$H$78</f>
        <v>0</v>
      </c>
      <c r="N48" s="376">
        <f>$B$48*'2026 Labor Alloc $$'!$H$78</f>
        <v>0</v>
      </c>
      <c r="O48" s="376">
        <f>$B$48*'2026 Labor Alloc $$'!$H$78</f>
        <v>0</v>
      </c>
      <c r="P48" s="376">
        <f>$B$48*'2026 Labor Alloc $$'!$H$78</f>
        <v>0</v>
      </c>
      <c r="Q48" s="376">
        <f>$B$48*'2026 Labor Alloc $$'!$H$78</f>
        <v>0</v>
      </c>
      <c r="R48" s="376">
        <f>$B$48*'2026 Labor Alloc $$'!$H$78</f>
        <v>0</v>
      </c>
      <c r="S48" s="376">
        <f>$B$48*'2026 Labor Alloc $$'!$H$78</f>
        <v>0</v>
      </c>
      <c r="T48" s="376">
        <f>$B$48*'2026 Labor Alloc $$'!$H$78</f>
        <v>0</v>
      </c>
      <c r="U48" s="376">
        <f>$B$48*'2026 Labor Alloc $$'!$H$78</f>
        <v>0</v>
      </c>
      <c r="V48" s="376">
        <f>$B$48*'2026 Labor Alloc $$'!$H$78</f>
        <v>0</v>
      </c>
      <c r="W48" s="376">
        <f>$B$48*'2026 Labor Alloc $$'!$H$78</f>
        <v>0</v>
      </c>
      <c r="X48" s="376">
        <f>$B$48*'2026 Labor Alloc $$'!$H$78</f>
        <v>0</v>
      </c>
      <c r="Y48" s="376">
        <f>$B$48*'2026 Labor Alloc $$'!$H$78</f>
        <v>0</v>
      </c>
      <c r="Z48" s="376">
        <f>$B$48*'2026 Labor Alloc $$'!$H$78</f>
        <v>0</v>
      </c>
      <c r="AA48" s="376">
        <f>$B$48*'2026 Labor Alloc $$'!$H$78</f>
        <v>0</v>
      </c>
      <c r="AB48" s="376">
        <f>$B$48*'2026 Labor Alloc $$'!$H$78</f>
        <v>0</v>
      </c>
      <c r="AC48" s="376">
        <f>$B$48*'2026 Labor Alloc $$'!$H$78</f>
        <v>0</v>
      </c>
      <c r="AD48" s="376">
        <f>$B$48*'2026 Labor Alloc $$'!$H$78</f>
        <v>0</v>
      </c>
      <c r="AE48" s="376">
        <f>$B$48*'2026 Labor Alloc $$'!$H$78</f>
        <v>0</v>
      </c>
      <c r="AF48" s="376">
        <f>$B$48*'2026 Labor Alloc $$'!$H$78</f>
        <v>0</v>
      </c>
      <c r="AG48" s="376">
        <f>$B$48*'2026 Labor Alloc $$'!$H$78</f>
        <v>0</v>
      </c>
      <c r="AH48" s="376">
        <f>$B$48*'2026 Labor Alloc $$'!$H$78</f>
        <v>0</v>
      </c>
      <c r="AI48" s="376">
        <f>$B$48*'2026 Labor Alloc $$'!$H$78</f>
        <v>0</v>
      </c>
      <c r="AJ48" s="376">
        <f>$B$48*'2026 Labor Alloc $$'!$H$78</f>
        <v>0</v>
      </c>
      <c r="AK48" s="376">
        <f>$B$48*'2026 Labor Alloc $$'!$H$78</f>
        <v>0</v>
      </c>
      <c r="AL48" s="376">
        <f>$B$48*'2026 Labor Alloc $$'!$H$78</f>
        <v>0</v>
      </c>
      <c r="AM48" s="376">
        <f>$B$48*'2026 Labor Alloc $$'!$H$78</f>
        <v>0</v>
      </c>
      <c r="AN48" s="376">
        <f>$B$48*'2026 Labor Alloc $$'!$H$78</f>
        <v>0</v>
      </c>
      <c r="AO48" s="376">
        <f>$B$48*'2026 Labor Alloc $$'!$H$78</f>
        <v>0</v>
      </c>
      <c r="AP48" s="376">
        <f>$B$48*'2026 Labor Alloc $$'!$H$78</f>
        <v>0</v>
      </c>
      <c r="AQ48" s="376">
        <f>$B$48*'2026 Labor Alloc $$'!$H$78</f>
        <v>0</v>
      </c>
      <c r="AR48" s="376">
        <f>$B$48*'2026 Labor Alloc $$'!$H$78</f>
        <v>0</v>
      </c>
      <c r="AS48" s="376">
        <f>$B$48*'2026 Labor Alloc $$'!$H$78</f>
        <v>0</v>
      </c>
      <c r="AT48" s="376">
        <f>$B$48*'2026 Labor Alloc $$'!$H$78</f>
        <v>0</v>
      </c>
      <c r="AU48" s="376">
        <f>$B$48*'2026 Labor Alloc $$'!$H$78</f>
        <v>0</v>
      </c>
      <c r="AV48" s="376">
        <f>$B$48*'2026 Labor Alloc $$'!$H$78</f>
        <v>0</v>
      </c>
      <c r="AW48" s="369"/>
      <c r="AX48" s="8">
        <f t="shared" si="46"/>
        <v>0</v>
      </c>
      <c r="AY48" s="376">
        <f t="shared" ref="AY48:BL48" si="72">AY303</f>
        <v>0</v>
      </c>
      <c r="AZ48" s="376">
        <f t="shared" si="72"/>
        <v>0</v>
      </c>
      <c r="BA48" s="376">
        <f t="shared" si="72"/>
        <v>0</v>
      </c>
      <c r="BB48" s="376">
        <f t="shared" si="72"/>
        <v>0</v>
      </c>
      <c r="BC48" s="376">
        <f t="shared" si="72"/>
        <v>0</v>
      </c>
      <c r="BD48" s="376">
        <f t="shared" si="72"/>
        <v>0</v>
      </c>
      <c r="BE48" s="376">
        <f t="shared" si="72"/>
        <v>0</v>
      </c>
      <c r="BF48" s="376">
        <f t="shared" si="72"/>
        <v>0</v>
      </c>
      <c r="BG48" s="376">
        <f t="shared" si="72"/>
        <v>0</v>
      </c>
      <c r="BH48" s="376">
        <f t="shared" si="72"/>
        <v>0</v>
      </c>
      <c r="BI48" s="376">
        <f t="shared" si="72"/>
        <v>0</v>
      </c>
      <c r="BJ48" s="376">
        <f t="shared" si="72"/>
        <v>0</v>
      </c>
      <c r="BK48" s="376">
        <f t="shared" si="72"/>
        <v>0</v>
      </c>
      <c r="BL48" s="376">
        <f t="shared" si="72"/>
        <v>0</v>
      </c>
      <c r="BM48" s="376">
        <f t="shared" si="69"/>
        <v>0</v>
      </c>
      <c r="BS48" s="8" t="e">
        <f>SUM(B48:BL48)-#REF!-AV48-AP48-SUM(AY48:BL48)</f>
        <v>#REF!</v>
      </c>
      <c r="BT48" t="s">
        <v>125</v>
      </c>
    </row>
    <row r="49" spans="1:72">
      <c r="A49" s="7" t="s">
        <v>126</v>
      </c>
      <c r="B49" s="285">
        <v>7700</v>
      </c>
      <c r="C49" s="389">
        <f t="shared" si="70"/>
        <v>7699.8671436597788</v>
      </c>
      <c r="D49" s="375">
        <v>7883.29</v>
      </c>
      <c r="E49" s="376">
        <f>B49*'2026 Labor Alloc $$'!$AX$78</f>
        <v>114.9595350150783</v>
      </c>
      <c r="F49" s="376">
        <f>$B$49*'2026 Labor Alloc $$'!$AY$78</f>
        <v>139.447721215999</v>
      </c>
      <c r="G49" s="376">
        <f>$B$49*'2026 Labor Alloc $$'!H78</f>
        <v>980.90824371442898</v>
      </c>
      <c r="H49" s="376">
        <f>$B$49*'2026 Labor Alloc $$'!I78</f>
        <v>696.82617625507396</v>
      </c>
      <c r="I49" s="376">
        <f>$B$49*'2026 Labor Alloc $$'!J78</f>
        <v>138.51056284446537</v>
      </c>
      <c r="J49" s="376">
        <f>$B$49*'2026 Labor Alloc $$'!K78</f>
        <v>174.25997773994155</v>
      </c>
      <c r="K49" s="376">
        <f>$B$49*'2026 Labor Alloc $$'!L78</f>
        <v>68.345749141711906</v>
      </c>
      <c r="L49" s="376">
        <f>$B$49*'2026 Labor Alloc $$'!M78</f>
        <v>194.80915267712018</v>
      </c>
      <c r="M49" s="376">
        <f>$B$49*'2026 Labor Alloc $$'!N78</f>
        <v>340.05576674490902</v>
      </c>
      <c r="N49" s="376">
        <f>$B$49*'2026 Labor Alloc $$'!O78</f>
        <v>893.54073081834611</v>
      </c>
      <c r="O49" s="376">
        <f>$B$49*'2026 Labor Alloc $$'!P78</f>
        <v>257.899676694633</v>
      </c>
      <c r="P49" s="376">
        <f>$B$49*'2026 Labor Alloc $$'!Q78</f>
        <v>27.56359616335029</v>
      </c>
      <c r="Q49" s="376">
        <f>$B$49*'2026 Labor Alloc $$'!R78</f>
        <v>222.42608689264279</v>
      </c>
      <c r="R49" s="376">
        <f>$B$49*'2026 Labor Alloc $$'!S78</f>
        <v>398.2237823992715</v>
      </c>
      <c r="S49" s="376">
        <f>$B$49*'2026 Labor Alloc $$'!T78</f>
        <v>149.36210975824829</v>
      </c>
      <c r="T49" s="376">
        <f>$B$49*'2026 Labor Alloc $$'!U78</f>
        <v>25.170344370824882</v>
      </c>
      <c r="U49" s="376">
        <f>$B$49*'2026 Labor Alloc $$'!V78</f>
        <v>110.7523297893859</v>
      </c>
      <c r="V49" s="376">
        <f>$B$49*'2026 Labor Alloc $$'!W78</f>
        <v>84.167855349017088</v>
      </c>
      <c r="W49" s="376">
        <f>$B$49*'2026 Labor Alloc $$'!X78</f>
        <v>96.781049643287005</v>
      </c>
      <c r="X49" s="376">
        <f>$B$49*'2026 Labor Alloc $$'!Y78</f>
        <v>228.92256704128729</v>
      </c>
      <c r="Y49" s="376">
        <f>$B$49*'2026 Labor Alloc $$'!Z78</f>
        <v>41.732935364764494</v>
      </c>
      <c r="Z49" s="376">
        <f>$B$49*'2026 Labor Alloc $$'!AA78</f>
        <v>80.167092670347571</v>
      </c>
      <c r="AA49" s="376">
        <f>$B$49*'2026 Labor Alloc $$'!AB78</f>
        <v>31.584102946120449</v>
      </c>
      <c r="AB49" s="376">
        <f>$B$49*'2026 Labor Alloc $$'!AC78</f>
        <v>502.12409574714866</v>
      </c>
      <c r="AC49" s="376">
        <f>$B$49*'2026 Labor Alloc $$'!AD78</f>
        <v>48.943709961197804</v>
      </c>
      <c r="AD49" s="376">
        <f>$B$49*'2026 Labor Alloc $$'!AE78</f>
        <v>12.037990786046681</v>
      </c>
      <c r="AE49" s="376">
        <f>$B$49*'2026 Labor Alloc $$'!AF78</f>
        <v>14.219569004979988</v>
      </c>
      <c r="AF49" s="376">
        <f>$B$49*'2026 Labor Alloc $$'!AG78</f>
        <v>6.5661767923890988</v>
      </c>
      <c r="AG49" s="376">
        <f>$B$49*'2026 Labor Alloc $$'!AH78</f>
        <v>460.47304816982609</v>
      </c>
      <c r="AH49" s="376">
        <f>$B$49*'2026 Labor Alloc $$'!AI78</f>
        <v>245.73650714897713</v>
      </c>
      <c r="AI49" s="376">
        <f>$B$49*'2026 Labor Alloc $$'!AJ78</f>
        <v>58.832904196580316</v>
      </c>
      <c r="AJ49" s="376">
        <f>$B$49*'2026 Labor Alloc $$'!AK78</f>
        <v>0</v>
      </c>
      <c r="AK49" s="376">
        <f>$B$49*'2026 Labor Alloc $$'!AL78</f>
        <v>4.298975353919964</v>
      </c>
      <c r="AL49" s="376">
        <f>$B$49*'2026 Labor Alloc $$'!AM78</f>
        <v>6.0185654954879491</v>
      </c>
      <c r="AM49" s="376">
        <f>$B$49*'2026 Labor Alloc $$'!AN78</f>
        <v>17.195901415679856</v>
      </c>
      <c r="AN49" s="376">
        <f>$B$49*'2026 Labor Alloc $$'!AO78</f>
        <v>6.878360566271942</v>
      </c>
      <c r="AO49" s="376">
        <f>$B$49*'2026 Labor Alloc $$'!AP78</f>
        <v>0</v>
      </c>
      <c r="AP49" s="376">
        <f>$B$49*'2026 Labor Alloc $$'!AQ78</f>
        <v>0</v>
      </c>
      <c r="AQ49" s="376">
        <f>$B$49*'2026 Labor Alloc $$'!AR78</f>
        <v>0</v>
      </c>
      <c r="AR49" s="376">
        <f>$B$49*'2026 Labor Alloc $$'!AS78</f>
        <v>158.84174275908384</v>
      </c>
      <c r="AS49" s="376">
        <f>$B$49*'2026 Labor Alloc $$'!AT78</f>
        <v>42.687833106334409</v>
      </c>
      <c r="AT49" s="376">
        <f>$B$49*'2026 Labor Alloc $$'!AU78</f>
        <v>445.62534454063126</v>
      </c>
      <c r="AU49" s="376">
        <f>$B$49*'2026 Labor Alloc $$'!AV78</f>
        <v>172.96927336496972</v>
      </c>
      <c r="AV49" s="376">
        <f>$B$49*'2026 Labor Alloc $$'!AW78</f>
        <v>0</v>
      </c>
      <c r="AW49" s="369"/>
      <c r="AX49" s="8">
        <f t="shared" si="46"/>
        <v>0</v>
      </c>
      <c r="AY49" s="376">
        <f t="shared" ref="AY49:BL49" si="73">AY304</f>
        <v>0</v>
      </c>
      <c r="AZ49" s="376">
        <f t="shared" si="73"/>
        <v>0</v>
      </c>
      <c r="BA49" s="376">
        <f t="shared" si="73"/>
        <v>0</v>
      </c>
      <c r="BB49" s="376">
        <f t="shared" si="73"/>
        <v>0</v>
      </c>
      <c r="BC49" s="376">
        <f t="shared" si="73"/>
        <v>0</v>
      </c>
      <c r="BD49" s="376">
        <f t="shared" si="73"/>
        <v>0</v>
      </c>
      <c r="BE49" s="376">
        <f t="shared" si="73"/>
        <v>0</v>
      </c>
      <c r="BF49" s="376">
        <f t="shared" si="73"/>
        <v>0</v>
      </c>
      <c r="BG49" s="376">
        <f t="shared" si="73"/>
        <v>0</v>
      </c>
      <c r="BH49" s="376">
        <f t="shared" si="73"/>
        <v>0</v>
      </c>
      <c r="BI49" s="376">
        <f t="shared" si="73"/>
        <v>0</v>
      </c>
      <c r="BJ49" s="376">
        <f t="shared" si="73"/>
        <v>0</v>
      </c>
      <c r="BK49" s="376">
        <f t="shared" si="73"/>
        <v>0</v>
      </c>
      <c r="BL49" s="376">
        <f t="shared" si="73"/>
        <v>0</v>
      </c>
      <c r="BM49" s="376">
        <f t="shared" si="69"/>
        <v>7445.4598874287012</v>
      </c>
      <c r="BS49" s="8" t="e">
        <f>SUM(B49:BL49)-#REF!-AV49-AP49-SUM(AY49:BL49)</f>
        <v>#REF!</v>
      </c>
      <c r="BT49" t="s">
        <v>126</v>
      </c>
    </row>
    <row r="50" spans="1:72">
      <c r="A50" s="7" t="s">
        <v>127</v>
      </c>
      <c r="B50" s="285">
        <v>340000</v>
      </c>
      <c r="C50" s="389">
        <f t="shared" si="70"/>
        <v>340005.13361614611</v>
      </c>
      <c r="D50" s="375">
        <v>287255.43</v>
      </c>
      <c r="E50" s="376">
        <f>B50*'2026 Labor Alloc $$'!$AX$78</f>
        <v>5076.1353123541066</v>
      </c>
      <c r="F50" s="376">
        <f>B50*'2026 Labor Alloc $$'!$AY$78</f>
        <v>6157.4318459012547</v>
      </c>
      <c r="G50" s="376">
        <f>$B$50*'2026 Labor Alloc $$'!H78+11</f>
        <v>43323.831540637126</v>
      </c>
      <c r="H50" s="376">
        <f>$B$50*'2026 Labor Alloc $$'!I78</f>
        <v>30768.948042431835</v>
      </c>
      <c r="I50" s="376">
        <f>$B$50*'2026 Labor Alloc $$'!J78</f>
        <v>6116.0508268984704</v>
      </c>
      <c r="J50" s="376">
        <f>$B$50*'2026 Labor Alloc $$'!K78</f>
        <v>7694.5964196857303</v>
      </c>
      <c r="K50" s="376">
        <f>$B$50*'2026 Labor Alloc $$'!L78</f>
        <v>3017.8642478158504</v>
      </c>
      <c r="L50" s="376">
        <f>$B$50*'2026 Labor Alloc $$'!M78</f>
        <v>8601.9625857429692</v>
      </c>
      <c r="M50" s="376">
        <f>$B$50*'2026 Labor Alloc $$'!N78</f>
        <v>15015.449440684295</v>
      </c>
      <c r="N50" s="376">
        <f>$B$50*'2026 Labor Alloc $$'!O78</f>
        <v>39455.045256913982</v>
      </c>
      <c r="O50" s="376">
        <f>$B$50*'2026 Labor Alloc $$'!P78</f>
        <v>11387.777931970808</v>
      </c>
      <c r="P50" s="376">
        <f>$B$50*'2026 Labor Alloc $$'!Q78</f>
        <v>1217.0938565635192</v>
      </c>
      <c r="Q50" s="376">
        <f>$B$50*'2026 Labor Alloc $$'!R78</f>
        <v>9821.4116290257862</v>
      </c>
      <c r="R50" s="376">
        <f>$B$50*'2026 Labor Alloc $$'!S78</f>
        <v>17583.907274773028</v>
      </c>
      <c r="S50" s="376">
        <f>$B$50*'2026 Labor Alloc $$'!T78</f>
        <v>6595.2100412733007</v>
      </c>
      <c r="T50" s="376">
        <f>$B$50*'2026 Labor Alloc $$'!U78</f>
        <v>1111.4178033870726</v>
      </c>
      <c r="U50" s="376">
        <f>$B$50*'2026 Labor Alloc $$'!V78</f>
        <v>4890.3626140767801</v>
      </c>
      <c r="V50" s="376">
        <f>$B$50*'2026 Labor Alloc $$'!W78</f>
        <v>3716.5027037228324</v>
      </c>
      <c r="W50" s="376">
        <f>$B$50*'2026 Labor Alloc $$'!X78</f>
        <v>4273.448945287998</v>
      </c>
      <c r="X50" s="376">
        <f>$B$50*'2026 Labor Alloc $$'!Y78</f>
        <v>10108.269194030867</v>
      </c>
      <c r="Y50" s="376">
        <f>$B$50*'2026 Labor Alloc $$'!Z78</f>
        <v>1842.7529901324581</v>
      </c>
      <c r="Z50" s="376">
        <f>$B$50*'2026 Labor Alloc $$'!AA78</f>
        <v>3539.8456503789839</v>
      </c>
      <c r="AA50" s="376">
        <f>$B$50*'2026 Labor Alloc $$'!AB78</f>
        <v>1394.6227274910329</v>
      </c>
      <c r="AB50" s="376">
        <f>$B$50*'2026 Labor Alloc $$'!AC78</f>
        <v>22171.713318705264</v>
      </c>
      <c r="AC50" s="376">
        <f>$B$50*'2026 Labor Alloc $$'!AD78</f>
        <v>2161.1508294554874</v>
      </c>
      <c r="AD50" s="376">
        <f>$B$50*'2026 Labor Alloc $$'!AE78</f>
        <v>531.54764509816516</v>
      </c>
      <c r="AE50" s="376">
        <f>$B$50*'2026 Labor Alloc $$'!AF78</f>
        <v>627.87707294716824</v>
      </c>
      <c r="AF50" s="376">
        <f>$B$50*'2026 Labor Alloc $$'!AG78</f>
        <v>289.93507914445371</v>
      </c>
      <c r="AG50" s="376">
        <f>$B$50*'2026 Labor Alloc $$'!AH78</f>
        <v>20332.576152953359</v>
      </c>
      <c r="AH50" s="376">
        <f>$B$50*'2026 Labor Alloc $$'!AI78</f>
        <v>10850.702913071718</v>
      </c>
      <c r="AI50" s="376">
        <f>$B$50*'2026 Labor Alloc $$'!AJ78</f>
        <v>2597.8165489399098</v>
      </c>
      <c r="AJ50" s="376">
        <f>$B$50*'2026 Labor Alloc $$'!AK78</f>
        <v>0</v>
      </c>
      <c r="AK50" s="376">
        <f>$B$50*'2026 Labor Alloc $$'!AL78</f>
        <v>189.82488575750492</v>
      </c>
      <c r="AL50" s="376">
        <f>$B$50*'2026 Labor Alloc $$'!AM78</f>
        <v>265.75484006050687</v>
      </c>
      <c r="AM50" s="376">
        <f>$B$50*'2026 Labor Alloc $$'!AN78</f>
        <v>759.29954303001966</v>
      </c>
      <c r="AN50" s="376">
        <f>$B$50*'2026 Labor Alloc $$'!AO78</f>
        <v>303.71981721200785</v>
      </c>
      <c r="AO50" s="376">
        <f>$B$50*'2026 Labor Alloc $$'!AP78</f>
        <v>0</v>
      </c>
      <c r="AP50" s="376">
        <f>$B$50*'2026 Labor Alloc $$'!AQ78</f>
        <v>0</v>
      </c>
      <c r="AQ50" s="376">
        <f>$B$50*'2026 Labor Alloc $$'!AR78</f>
        <v>0</v>
      </c>
      <c r="AR50" s="376">
        <f>$B$50*'2026 Labor Alloc $$'!AS78</f>
        <v>7013.7912387127935</v>
      </c>
      <c r="AS50" s="376">
        <f>$B$50*'2026 Labor Alloc $$'!AT78</f>
        <v>1884.9173059939869</v>
      </c>
      <c r="AT50" s="376">
        <f>$B$50*'2026 Labor Alloc $$'!AU78</f>
        <v>19676.963265430473</v>
      </c>
      <c r="AU50" s="376">
        <f>$B$50*'2026 Labor Alloc $$'!AV78</f>
        <v>7637.6042784532092</v>
      </c>
      <c r="AV50" s="376">
        <f>$B$50*'2026 Labor Alloc $$'!AW78</f>
        <v>0</v>
      </c>
      <c r="AW50" s="369"/>
      <c r="AX50" s="8">
        <f t="shared" si="46"/>
        <v>0</v>
      </c>
      <c r="AY50" s="8">
        <f>(AY37*'June 2024 YTD'!$CB$50)+AY169</f>
        <v>0</v>
      </c>
      <c r="AZ50" s="8">
        <f>(AZ37*'June 2024 YTD'!$CB$50)+AZ169</f>
        <v>0</v>
      </c>
      <c r="BA50" s="8">
        <f>(BA37*'June 2024 YTD'!$CB$50)+BA169</f>
        <v>0</v>
      </c>
      <c r="BB50" s="8">
        <f>(BB37*'June 2024 YTD'!$CB$50)+BB169</f>
        <v>0</v>
      </c>
      <c r="BC50" s="8">
        <f>(BC37*'June 2024 YTD'!$CB$50)+BC169</f>
        <v>0</v>
      </c>
      <c r="BD50" s="8">
        <f>(BD37*'June 2024 YTD'!$CB$50)+BD169</f>
        <v>0</v>
      </c>
      <c r="BE50" s="8">
        <f>(BE37*'June 2024 YTD'!$CB$50)+BE169</f>
        <v>0</v>
      </c>
      <c r="BF50" s="8">
        <f>(BF37*'June 2024 YTD'!$CB$50)+BF169</f>
        <v>0</v>
      </c>
      <c r="BG50" s="8">
        <f>(BG37*'June 2024 YTD'!$CB$50)+BG169</f>
        <v>0</v>
      </c>
      <c r="BH50" s="8">
        <f>(BH37*'June 2024 YTD'!$CB$50)+BH169</f>
        <v>0</v>
      </c>
      <c r="BI50" s="8">
        <f>(BI37*'June 2024 YTD'!$CB$50)+BI169</f>
        <v>0</v>
      </c>
      <c r="BJ50" s="8">
        <f>(BJ37*'June 2024 YTD'!$CB$50)+BJ169</f>
        <v>0</v>
      </c>
      <c r="BK50" s="8">
        <f>(BK37*'June 2024 YTD'!$CB$50)+BK169</f>
        <v>0</v>
      </c>
      <c r="BL50" s="8">
        <f>(BL37*'June 2024 YTD'!$CB$50)+BL169</f>
        <v>0</v>
      </c>
      <c r="BM50" s="376">
        <f t="shared" si="69"/>
        <v>328771.56645789079</v>
      </c>
      <c r="BS50" s="8" t="e">
        <f>SUM(B50:BL50)-#REF!-AV50-AP50-SUM(AY50:BL50)</f>
        <v>#REF!</v>
      </c>
      <c r="BT50" t="s">
        <v>127</v>
      </c>
    </row>
    <row r="51" spans="1:72">
      <c r="A51" s="7" t="s">
        <v>128</v>
      </c>
      <c r="B51" s="285">
        <v>5500</v>
      </c>
      <c r="C51" s="389">
        <f t="shared" si="70"/>
        <v>5500.665102614128</v>
      </c>
      <c r="D51" s="375">
        <v>10043.16</v>
      </c>
      <c r="E51" s="376">
        <f>B51*'2026 Labor Alloc $$'!$AX$78</f>
        <v>82.113953582198789</v>
      </c>
      <c r="F51" s="376">
        <f>B51*'2026 Labor Alloc $$'!$AY$78</f>
        <v>99.605515154285001</v>
      </c>
      <c r="G51" s="376">
        <f>$B$51*'2026 Labor Alloc $$'!H78+0.76</f>
        <v>701.4087455103064</v>
      </c>
      <c r="H51" s="376">
        <f>$B$51*'2026 Labor Alloc $$'!I78</f>
        <v>497.73298303933854</v>
      </c>
      <c r="I51" s="376">
        <f>$B$51*'2026 Labor Alloc $$'!J78</f>
        <v>98.936116317475268</v>
      </c>
      <c r="J51" s="376">
        <f>$B$51*'2026 Labor Alloc $$'!K78</f>
        <v>124.47141267138682</v>
      </c>
      <c r="K51" s="376">
        <f>$B$51*'2026 Labor Alloc $$'!L78</f>
        <v>48.818392244079931</v>
      </c>
      <c r="L51" s="376">
        <f>$B$51*'2026 Labor Alloc $$'!M78</f>
        <v>139.14939476937155</v>
      </c>
      <c r="M51" s="376">
        <f>$B$51*'2026 Labor Alloc $$'!N78</f>
        <v>242.89697624636358</v>
      </c>
      <c r="N51" s="376">
        <f>$B$51*'2026 Labor Alloc $$'!O78</f>
        <v>638.24337915596152</v>
      </c>
      <c r="O51" s="376">
        <f>$B$51*'2026 Labor Alloc $$'!P78</f>
        <v>184.21405478188072</v>
      </c>
      <c r="P51" s="376">
        <f>$B$51*'2026 Labor Alloc $$'!Q78</f>
        <v>19.688282973821636</v>
      </c>
      <c r="Q51" s="376">
        <f>$B$51*'2026 Labor Alloc $$'!R78</f>
        <v>158.87577635188771</v>
      </c>
      <c r="R51" s="376">
        <f>$B$51*'2026 Labor Alloc $$'!S78</f>
        <v>284.44555885662248</v>
      </c>
      <c r="S51" s="376">
        <f>$B$51*'2026 Labor Alloc $$'!T78</f>
        <v>106.68722125589163</v>
      </c>
      <c r="T51" s="376">
        <f>$B$51*'2026 Labor Alloc $$'!U78</f>
        <v>17.978817407732059</v>
      </c>
      <c r="U51" s="376">
        <f>$B$51*'2026 Labor Alloc $$'!V78</f>
        <v>79.108806992418508</v>
      </c>
      <c r="V51" s="376">
        <f>$B$51*'2026 Labor Alloc $$'!W78</f>
        <v>60.119896677869349</v>
      </c>
      <c r="W51" s="376">
        <f>$B$51*'2026 Labor Alloc $$'!X78</f>
        <v>69.129321173776432</v>
      </c>
      <c r="X51" s="376">
        <f>$B$51*'2026 Labor Alloc $$'!Y78</f>
        <v>163.5161193152052</v>
      </c>
      <c r="Y51" s="376">
        <f>$B$51*'2026 Labor Alloc $$'!Z78</f>
        <v>29.809239546260351</v>
      </c>
      <c r="Z51" s="376">
        <f>$B$51*'2026 Labor Alloc $$'!AA78</f>
        <v>57.262209050248266</v>
      </c>
      <c r="AA51" s="376">
        <f>$B$51*'2026 Labor Alloc $$'!AB78</f>
        <v>22.560073532943179</v>
      </c>
      <c r="AB51" s="376">
        <f>$B$51*'2026 Labor Alloc $$'!AC78</f>
        <v>358.66006839082047</v>
      </c>
      <c r="AC51" s="376">
        <f>$B$51*'2026 Labor Alloc $$'!AD78</f>
        <v>34.959792829427002</v>
      </c>
      <c r="AD51" s="376">
        <f>$B$51*'2026 Labor Alloc $$'!AE78</f>
        <v>8.5985648471762008</v>
      </c>
      <c r="AE51" s="376">
        <f>$B$51*'2026 Labor Alloc $$'!AF78</f>
        <v>10.156835003557134</v>
      </c>
      <c r="AF51" s="376">
        <f>$B$51*'2026 Labor Alloc $$'!AG78</f>
        <v>4.6901262802779282</v>
      </c>
      <c r="AG51" s="376">
        <f>$B$51*'2026 Labor Alloc $$'!AH78</f>
        <v>328.90932012130435</v>
      </c>
      <c r="AH51" s="376">
        <f>$B$51*'2026 Labor Alloc $$'!AI78</f>
        <v>175.52607653498367</v>
      </c>
      <c r="AI51" s="376">
        <f>$B$51*'2026 Labor Alloc $$'!AJ78</f>
        <v>42.023502997557365</v>
      </c>
      <c r="AJ51" s="376">
        <f>$B$51*'2026 Labor Alloc $$'!AK78</f>
        <v>0</v>
      </c>
      <c r="AK51" s="376">
        <f>$B$51*'2026 Labor Alloc $$'!AL78</f>
        <v>3.0706966813714027</v>
      </c>
      <c r="AL51" s="376">
        <f>$B$51*'2026 Labor Alloc $$'!AM78</f>
        <v>4.298975353919964</v>
      </c>
      <c r="AM51" s="376">
        <f>$B$51*'2026 Labor Alloc $$'!AN78</f>
        <v>12.282786725485611</v>
      </c>
      <c r="AN51" s="376">
        <f>$B$51*'2026 Labor Alloc $$'!AO78</f>
        <v>4.9131146901942442</v>
      </c>
      <c r="AO51" s="376">
        <f>$B$51*'2026 Labor Alloc $$'!AP78</f>
        <v>0</v>
      </c>
      <c r="AP51" s="376">
        <f>$B$51*'2026 Labor Alloc $$'!AQ78</f>
        <v>0</v>
      </c>
      <c r="AQ51" s="376">
        <f>$B$51*'2026 Labor Alloc $$'!AR78</f>
        <v>0</v>
      </c>
      <c r="AR51" s="376">
        <f>$B$51*'2026 Labor Alloc $$'!AS78</f>
        <v>113.45838768505989</v>
      </c>
      <c r="AS51" s="376">
        <f>$B$51*'2026 Labor Alloc $$'!AT78</f>
        <v>30.491309361667437</v>
      </c>
      <c r="AT51" s="376">
        <f>$B$51*'2026 Labor Alloc $$'!AU78</f>
        <v>318.30381752902235</v>
      </c>
      <c r="AU51" s="376">
        <f>$B$51*'2026 Labor Alloc $$'!AV78</f>
        <v>123.54948097497838</v>
      </c>
      <c r="AV51" s="376">
        <f>$B$51*'2026 Labor Alloc $$'!AW78</f>
        <v>0</v>
      </c>
      <c r="AW51" s="369"/>
      <c r="AX51" s="8">
        <f t="shared" si="46"/>
        <v>0</v>
      </c>
      <c r="AY51" s="8">
        <f>AY37*'June 2024 YTD'!$CB$51</f>
        <v>0</v>
      </c>
      <c r="AZ51" s="8">
        <f>AZ37*'June 2024 YTD'!$CB$51</f>
        <v>0</v>
      </c>
      <c r="BA51" s="8">
        <f>BA37*'June 2024 YTD'!$CB$51</f>
        <v>0</v>
      </c>
      <c r="BB51" s="8">
        <f>BB37*'June 2024 YTD'!$CB$51</f>
        <v>0</v>
      </c>
      <c r="BC51" s="8">
        <f>BC37*'June 2024 YTD'!$CB$51</f>
        <v>0</v>
      </c>
      <c r="BD51" s="8">
        <f>BD37*'June 2024 YTD'!$CB$51</f>
        <v>0</v>
      </c>
      <c r="BE51" s="8">
        <f>BE37*'June 2024 YTD'!$CB$51</f>
        <v>0</v>
      </c>
      <c r="BF51" s="8">
        <f>BF37*'June 2024 YTD'!$CB$51</f>
        <v>0</v>
      </c>
      <c r="BG51" s="8">
        <f>BG37*'June 2024 YTD'!$CB$51</f>
        <v>0</v>
      </c>
      <c r="BH51" s="8">
        <f>BH37*'June 2024 YTD'!$CB$51</f>
        <v>0</v>
      </c>
      <c r="BI51" s="8">
        <f>BI37*'June 2024 YTD'!$CB$51</f>
        <v>0</v>
      </c>
      <c r="BJ51" s="8">
        <f>BJ37*'June 2024 YTD'!$CB$51</f>
        <v>0</v>
      </c>
      <c r="BK51" s="8">
        <f>BK37*'June 2024 YTD'!$CB$51</f>
        <v>0</v>
      </c>
      <c r="BL51" s="8">
        <f>BL37*'June 2024 YTD'!$CB$51</f>
        <v>0</v>
      </c>
      <c r="BM51" s="376">
        <f t="shared" si="69"/>
        <v>5318.9456338776445</v>
      </c>
      <c r="BS51" s="8" t="e">
        <f>SUM(B51:BL51)-#REF!-AV51-AP51-SUM(AY51:BL51)</f>
        <v>#REF!</v>
      </c>
      <c r="BT51" t="s">
        <v>128</v>
      </c>
    </row>
    <row r="52" spans="1:72">
      <c r="A52" s="7" t="s">
        <v>129</v>
      </c>
      <c r="B52" s="285">
        <v>0</v>
      </c>
      <c r="C52" s="389">
        <f t="shared" si="70"/>
        <v>0</v>
      </c>
      <c r="D52" s="375">
        <v>12983.71</v>
      </c>
      <c r="E52" s="376">
        <f>B52*'2026 Labor Alloc $$'!$AX$78</f>
        <v>0</v>
      </c>
      <c r="F52" s="376">
        <f>B52*'2026 Labor Alloc $$'!$AY$78</f>
        <v>0</v>
      </c>
      <c r="G52" s="376">
        <v>0</v>
      </c>
      <c r="H52" s="376">
        <v>0</v>
      </c>
      <c r="I52" s="376">
        <v>0</v>
      </c>
      <c r="J52" s="376">
        <v>0</v>
      </c>
      <c r="K52" s="376">
        <v>0</v>
      </c>
      <c r="L52" s="376">
        <v>0</v>
      </c>
      <c r="M52" s="376">
        <v>0</v>
      </c>
      <c r="N52" s="376">
        <v>0</v>
      </c>
      <c r="O52" s="376">
        <v>0</v>
      </c>
      <c r="P52" s="376">
        <v>0</v>
      </c>
      <c r="Q52" s="376">
        <v>0</v>
      </c>
      <c r="R52" s="376">
        <v>0</v>
      </c>
      <c r="S52" s="376">
        <v>0</v>
      </c>
      <c r="T52" s="376">
        <v>0</v>
      </c>
      <c r="U52" s="376">
        <v>0</v>
      </c>
      <c r="V52" s="376">
        <v>0</v>
      </c>
      <c r="W52" s="376">
        <v>0</v>
      </c>
      <c r="X52" s="376">
        <v>0</v>
      </c>
      <c r="Y52" s="376">
        <v>0</v>
      </c>
      <c r="Z52" s="376">
        <v>0</v>
      </c>
      <c r="AA52" s="376">
        <v>0</v>
      </c>
      <c r="AB52" s="376">
        <v>0</v>
      </c>
      <c r="AC52" s="376">
        <v>0</v>
      </c>
      <c r="AD52" s="376">
        <v>0</v>
      </c>
      <c r="AE52" s="376">
        <v>0</v>
      </c>
      <c r="AF52" s="376">
        <v>0</v>
      </c>
      <c r="AG52" s="376">
        <v>0</v>
      </c>
      <c r="AH52" s="376">
        <v>0</v>
      </c>
      <c r="AI52" s="376">
        <v>0</v>
      </c>
      <c r="AJ52" s="376">
        <v>0</v>
      </c>
      <c r="AK52" s="376">
        <v>0</v>
      </c>
      <c r="AL52" s="376">
        <v>0</v>
      </c>
      <c r="AM52" s="376">
        <v>0</v>
      </c>
      <c r="AN52" s="376">
        <v>0</v>
      </c>
      <c r="AO52" s="376">
        <f t="shared" ref="AO52:AV52" si="74">AO37*$G$174</f>
        <v>0</v>
      </c>
      <c r="AP52" s="376">
        <f t="shared" si="74"/>
        <v>0</v>
      </c>
      <c r="AQ52" s="376">
        <v>0</v>
      </c>
      <c r="AR52" s="376">
        <v>0</v>
      </c>
      <c r="AS52" s="376">
        <v>0</v>
      </c>
      <c r="AT52" s="376">
        <v>0</v>
      </c>
      <c r="AU52" s="376">
        <v>0</v>
      </c>
      <c r="AV52" s="376">
        <f t="shared" si="74"/>
        <v>0</v>
      </c>
      <c r="AW52" s="369"/>
      <c r="AX52" s="8">
        <f t="shared" si="46"/>
        <v>0</v>
      </c>
      <c r="AY52" s="376">
        <f t="shared" ref="AY52:BL52" si="75">AY305</f>
        <v>0</v>
      </c>
      <c r="AZ52" s="376">
        <f t="shared" si="75"/>
        <v>0</v>
      </c>
      <c r="BA52" s="376">
        <f t="shared" si="75"/>
        <v>0</v>
      </c>
      <c r="BB52" s="376">
        <f t="shared" si="75"/>
        <v>0</v>
      </c>
      <c r="BC52" s="376">
        <f t="shared" si="75"/>
        <v>0</v>
      </c>
      <c r="BD52" s="376">
        <f t="shared" si="75"/>
        <v>0</v>
      </c>
      <c r="BE52" s="376">
        <f t="shared" si="75"/>
        <v>0</v>
      </c>
      <c r="BF52" s="376">
        <f t="shared" si="75"/>
        <v>0</v>
      </c>
      <c r="BG52" s="376">
        <f t="shared" si="75"/>
        <v>0</v>
      </c>
      <c r="BH52" s="376">
        <f t="shared" si="75"/>
        <v>0</v>
      </c>
      <c r="BI52" s="376">
        <f t="shared" si="75"/>
        <v>0</v>
      </c>
      <c r="BJ52" s="376">
        <f t="shared" si="75"/>
        <v>0</v>
      </c>
      <c r="BK52" s="376">
        <f t="shared" si="75"/>
        <v>0</v>
      </c>
      <c r="BL52" s="376">
        <f t="shared" si="75"/>
        <v>0</v>
      </c>
      <c r="BM52" s="376">
        <f t="shared" si="69"/>
        <v>0</v>
      </c>
      <c r="BS52" s="8" t="e">
        <f>SUM(B52:BL52)-#REF!-AV52-AP52-SUM(AY52:BL52)</f>
        <v>#REF!</v>
      </c>
      <c r="BT52" t="s">
        <v>129</v>
      </c>
    </row>
    <row r="53" spans="1:72">
      <c r="A53" s="7" t="s">
        <v>131</v>
      </c>
      <c r="B53" s="285">
        <f>'51320 Small Equip-Software'!H108</f>
        <v>22568.346666666665</v>
      </c>
      <c r="C53" s="389">
        <f t="shared" si="70"/>
        <v>22567.957270829917</v>
      </c>
      <c r="D53" s="375">
        <v>20123.099999999999</v>
      </c>
      <c r="E53" s="376">
        <f>B53*'2026 Labor Alloc $$'!$AX$78</f>
        <v>336.94112192975223</v>
      </c>
      <c r="F53" s="376">
        <f>B53*'2026 Labor Alloc $$'!$AY$78</f>
        <v>408.71487198433158</v>
      </c>
      <c r="G53" s="376">
        <f>$B$53*'2026 Labor Alloc $$'!H78</f>
        <v>2874.9970509530372</v>
      </c>
      <c r="H53" s="376">
        <f>$B$53*'2026 Labor Alloc $$'!I78</f>
        <v>2042.3655470301658</v>
      </c>
      <c r="I53" s="376">
        <f>$B$53*'2026 Labor Alloc $$'!J78</f>
        <v>405.96810380117057</v>
      </c>
      <c r="J53" s="376">
        <f>$B$53*'2026 Labor Alloc $$'!K78</f>
        <v>510.74799841046973</v>
      </c>
      <c r="K53" s="376">
        <f>$B$53*'2026 Labor Alloc $$'!L78</f>
        <v>200.3182545224922</v>
      </c>
      <c r="L53" s="376">
        <f>$B$53*'2026 Labor Alloc $$'!M78</f>
        <v>570.97668720218735</v>
      </c>
      <c r="M53" s="376">
        <f>$B$53*'2026 Labor Alloc $$'!N78</f>
        <v>996.68784803873302</v>
      </c>
      <c r="N53" s="376">
        <f>$B$53*'2026 Labor Alloc $$'!O78</f>
        <v>2618.9268797266386</v>
      </c>
      <c r="O53" s="376">
        <f>$B$53*'2026 Labor Alloc $$'!P78</f>
        <v>755.89211803451053</v>
      </c>
      <c r="P53" s="376">
        <f>$B$53*'2026 Labor Alloc $$'!Q78</f>
        <v>80.787635531752287</v>
      </c>
      <c r="Q53" s="376">
        <f>$B$53*'2026 Labor Alloc $$'!R78</f>
        <v>651.92065411730971</v>
      </c>
      <c r="R53" s="376">
        <f>$B$53*'2026 Labor Alloc $$'!S78</f>
        <v>1167.1756327399987</v>
      </c>
      <c r="S53" s="376">
        <f>$B$53*'2026 Labor Alloc $$'!T78</f>
        <v>437.77348985569654</v>
      </c>
      <c r="T53" s="376">
        <f>$B$53*'2026 Labor Alloc $$'!U78</f>
        <v>73.773124348072429</v>
      </c>
      <c r="U53" s="376">
        <f>$B$53*'2026 Labor Alloc $$'!V78</f>
        <v>324.60999647114994</v>
      </c>
      <c r="V53" s="376">
        <f>$B$53*'2026 Labor Alloc $$'!W78</f>
        <v>246.69212178006126</v>
      </c>
      <c r="W53" s="376">
        <f>$B$53*'2026 Labor Alloc $$'!X78</f>
        <v>283.66081546929576</v>
      </c>
      <c r="X53" s="376">
        <f>$B$53*'2026 Labor Alloc $$'!Y78</f>
        <v>670.96153932610548</v>
      </c>
      <c r="Y53" s="376">
        <f>$B$53*'2026 Labor Alloc $$'!Z78</f>
        <v>122.31731853631145</v>
      </c>
      <c r="Z53" s="376">
        <f>$B$53*'2026 Labor Alloc $$'!AA78</f>
        <v>234.96606995366184</v>
      </c>
      <c r="AA53" s="376">
        <f>$B$53*'2026 Labor Alloc $$'!AB78</f>
        <v>92.571556421264191</v>
      </c>
      <c r="AB53" s="376">
        <f>$B$53*'2026 Labor Alloc $$'!AC78</f>
        <v>1471.7026834426201</v>
      </c>
      <c r="AC53" s="376">
        <f>$B$53*'2026 Labor Alloc $$'!AD78</f>
        <v>143.45176799442837</v>
      </c>
      <c r="AD53" s="376">
        <f>$B$53*'2026 Labor Alloc $$'!AE78</f>
        <v>35.282798601252033</v>
      </c>
      <c r="AE53" s="376">
        <f>$B$53*'2026 Labor Alloc $$'!AF78</f>
        <v>41.676904253893085</v>
      </c>
      <c r="AF53" s="376">
        <f>$B$53*'2026 Labor Alloc $$'!AG78</f>
        <v>19.245162873410198</v>
      </c>
      <c r="AG53" s="376">
        <f>$B$53*'2026 Labor Alloc $$'!AH78</f>
        <v>1349.6253742536796</v>
      </c>
      <c r="AH53" s="376">
        <f>$B$53*'2026 Labor Alloc $$'!AI78</f>
        <v>720.24242623297755</v>
      </c>
      <c r="AI53" s="376">
        <f>$B$53*'2026 Labor Alloc $$'!AJ78</f>
        <v>172.43654250846916</v>
      </c>
      <c r="AJ53" s="376">
        <f>$B$53*'2026 Labor Alloc $$'!AK78</f>
        <v>0</v>
      </c>
      <c r="AK53" s="376">
        <f>$B$53*'2026 Labor Alloc $$'!AL78</f>
        <v>12.600099493340489</v>
      </c>
      <c r="AL53" s="376">
        <f>$B$53*'2026 Labor Alloc $$'!AM78</f>
        <v>17.640139290676682</v>
      </c>
      <c r="AM53" s="376">
        <f>$B$53*'2026 Labor Alloc $$'!AN78</f>
        <v>50.400397973361954</v>
      </c>
      <c r="AN53" s="376">
        <f>$B$53*'2026 Labor Alloc $$'!AO78</f>
        <v>20.160159189344782</v>
      </c>
      <c r="AO53" s="376">
        <f>$B$53*'2026 Labor Alloc $$'!AP78</f>
        <v>0</v>
      </c>
      <c r="AP53" s="376">
        <f>$B$53*'2026 Labor Alloc $$'!AQ78</f>
        <v>0</v>
      </c>
      <c r="AQ53" s="376">
        <f>$B$53*'2026 Labor Alloc $$'!AR78</f>
        <v>0</v>
      </c>
      <c r="AR53" s="376">
        <f>$B$53*'2026 Labor Alloc $$'!AS78</f>
        <v>465.55785918499919</v>
      </c>
      <c r="AS53" s="376">
        <f>$B$53*'2026 Labor Alloc $$'!AT78</f>
        <v>125.11607999903443</v>
      </c>
      <c r="AT53" s="376">
        <f>$B$53*'2026 Labor Alloc $$'!AU78</f>
        <v>1306.1074362397064</v>
      </c>
      <c r="AU53" s="376">
        <f>$B$53*'2026 Labor Alloc $$'!AV78</f>
        <v>506.96500311455452</v>
      </c>
      <c r="AV53" s="376">
        <f>$B$53*'2026 Labor Alloc $$'!AW78</f>
        <v>0</v>
      </c>
      <c r="AW53" s="369"/>
      <c r="AX53" s="8">
        <f t="shared" si="46"/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376">
        <f t="shared" si="69"/>
        <v>21822.301276915834</v>
      </c>
      <c r="BS53" s="8" t="e">
        <f>SUM(B53:BL53)-#REF!-AV53-AP53-SUM(AY53:BL53)</f>
        <v>#REF!</v>
      </c>
      <c r="BT53" t="s">
        <v>131</v>
      </c>
    </row>
    <row r="54" spans="1:72">
      <c r="A54" s="9" t="s">
        <v>132</v>
      </c>
      <c r="B54" s="287">
        <f t="shared" ref="B54:AK54" si="76">SUM(B46:B53)</f>
        <v>1022118.3466666667</v>
      </c>
      <c r="C54" s="377">
        <f t="shared" si="76"/>
        <v>1022112.4709650029</v>
      </c>
      <c r="D54" s="378">
        <f>SUM(D46:D53)</f>
        <v>1010626.77</v>
      </c>
      <c r="E54" s="379">
        <f t="shared" ref="E54:F54" si="77">SUM(E46:E53)</f>
        <v>15260.032449763714</v>
      </c>
      <c r="F54" s="10">
        <f t="shared" si="77"/>
        <v>18510.6589942508</v>
      </c>
      <c r="G54" s="379">
        <f>SUM(G46:G53)</f>
        <v>130220.11224637608</v>
      </c>
      <c r="H54" s="379">
        <f t="shared" ref="H54:J54" si="78">SUM(H46:H53)</f>
        <v>92498.547946479404</v>
      </c>
      <c r="I54" s="379">
        <f t="shared" si="78"/>
        <v>18386.258115643424</v>
      </c>
      <c r="J54" s="379">
        <f t="shared" si="78"/>
        <v>23131.729913989504</v>
      </c>
      <c r="K54" s="379">
        <f t="shared" ref="K54" si="79">SUM(K46:K53)</f>
        <v>9072.3953395352364</v>
      </c>
      <c r="L54" s="379">
        <f t="shared" ref="L54" si="80">SUM(L46:L53)</f>
        <v>25859.48169478861</v>
      </c>
      <c r="M54" s="379">
        <f t="shared" ref="M54" si="81">SUM(M46:M53)</f>
        <v>45139.901049321044</v>
      </c>
      <c r="N54" s="10">
        <f t="shared" si="76"/>
        <v>118610.95772251597</v>
      </c>
      <c r="O54" s="10">
        <f t="shared" si="76"/>
        <v>34234.284564803398</v>
      </c>
      <c r="P54" s="10">
        <f t="shared" si="76"/>
        <v>3658.8645894378274</v>
      </c>
      <c r="Q54" s="10">
        <f t="shared" si="76"/>
        <v>29525.426518213553</v>
      </c>
      <c r="R54" s="10">
        <f t="shared" si="76"/>
        <v>52861.277151855822</v>
      </c>
      <c r="S54" s="10">
        <f t="shared" si="76"/>
        <v>19826.721127369601</v>
      </c>
      <c r="T54" s="10">
        <f t="shared" si="76"/>
        <v>3341.1780225114503</v>
      </c>
      <c r="U54" s="10">
        <f t="shared" si="76"/>
        <v>14701.556910884225</v>
      </c>
      <c r="V54" s="10">
        <f t="shared" si="76"/>
        <v>11172.663526209937</v>
      </c>
      <c r="W54" s="10">
        <f t="shared" si="76"/>
        <v>12846.972266241701</v>
      </c>
      <c r="X54" s="10">
        <f t="shared" si="76"/>
        <v>30387.786459601262</v>
      </c>
      <c r="Y54" s="10">
        <f t="shared" si="76"/>
        <v>5539.7401164389539</v>
      </c>
      <c r="Z54" s="10">
        <f t="shared" si="76"/>
        <v>10641.591716531053</v>
      </c>
      <c r="AA54" s="10">
        <f t="shared" si="76"/>
        <v>4192.5572836673291</v>
      </c>
      <c r="AB54" s="10">
        <f t="shared" si="76"/>
        <v>66653.279294359803</v>
      </c>
      <c r="AC54" s="10">
        <f t="shared" si="76"/>
        <v>6496.9173902951115</v>
      </c>
      <c r="AD54" s="10">
        <f t="shared" si="76"/>
        <v>1597.9547064185197</v>
      </c>
      <c r="AE54" s="10">
        <f t="shared" si="76"/>
        <v>1887.5431638548989</v>
      </c>
      <c r="AF54" s="10">
        <f t="shared" si="76"/>
        <v>871.61165804646532</v>
      </c>
      <c r="AG54" s="10">
        <f t="shared" si="76"/>
        <v>61124.409179208182</v>
      </c>
      <c r="AH54" s="10">
        <f t="shared" si="76"/>
        <v>32619.71329905896</v>
      </c>
      <c r="AI54" s="10">
        <f t="shared" si="76"/>
        <v>7809.6351645463719</v>
      </c>
      <c r="AJ54" s="10">
        <f t="shared" si="76"/>
        <v>0</v>
      </c>
      <c r="AK54" s="10">
        <f t="shared" si="76"/>
        <v>570.65734819602881</v>
      </c>
      <c r="AL54" s="10">
        <f t="shared" ref="AL54:BM54" si="82">SUM(AL46:AL53)</f>
        <v>798.92028747444033</v>
      </c>
      <c r="AM54" s="10">
        <f t="shared" si="82"/>
        <v>2282.6293927841152</v>
      </c>
      <c r="AN54" s="10">
        <f t="shared" si="82"/>
        <v>913.05175711364598</v>
      </c>
      <c r="AO54" s="10">
        <f t="shared" si="82"/>
        <v>0</v>
      </c>
      <c r="AP54" s="10">
        <f t="shared" si="82"/>
        <v>0</v>
      </c>
      <c r="AQ54" s="10">
        <f t="shared" si="82"/>
        <v>0</v>
      </c>
      <c r="AR54" s="10">
        <f t="shared" si="82"/>
        <v>21085.072661112565</v>
      </c>
      <c r="AS54" s="10">
        <f t="shared" si="82"/>
        <v>5666.4957658998874</v>
      </c>
      <c r="AT54" s="10">
        <f t="shared" si="82"/>
        <v>59153.485765536847</v>
      </c>
      <c r="AU54" s="10">
        <f t="shared" si="82"/>
        <v>22960.398404667216</v>
      </c>
      <c r="AV54" s="10">
        <f t="shared" si="82"/>
        <v>0</v>
      </c>
      <c r="AW54" s="366"/>
      <c r="AX54" s="4">
        <f t="shared" si="46"/>
        <v>0</v>
      </c>
      <c r="AY54" s="10">
        <f t="shared" si="82"/>
        <v>0</v>
      </c>
      <c r="AZ54" s="10">
        <f t="shared" si="82"/>
        <v>0</v>
      </c>
      <c r="BA54" s="10">
        <f t="shared" si="82"/>
        <v>0</v>
      </c>
      <c r="BB54" s="10">
        <f t="shared" si="82"/>
        <v>0</v>
      </c>
      <c r="BC54" s="10">
        <f t="shared" si="82"/>
        <v>0</v>
      </c>
      <c r="BD54" s="10">
        <f t="shared" si="82"/>
        <v>0</v>
      </c>
      <c r="BE54" s="10">
        <f t="shared" si="82"/>
        <v>0</v>
      </c>
      <c r="BF54" s="10">
        <f t="shared" si="82"/>
        <v>0</v>
      </c>
      <c r="BG54" s="10">
        <f t="shared" si="82"/>
        <v>0</v>
      </c>
      <c r="BH54" s="10">
        <f t="shared" si="82"/>
        <v>0</v>
      </c>
      <c r="BI54" s="10">
        <f t="shared" si="82"/>
        <v>0</v>
      </c>
      <c r="BJ54" s="10">
        <f t="shared" si="82"/>
        <v>0</v>
      </c>
      <c r="BK54" s="10">
        <f t="shared" si="82"/>
        <v>0</v>
      </c>
      <c r="BL54" s="10">
        <f t="shared" si="82"/>
        <v>0</v>
      </c>
      <c r="BM54" s="10">
        <f t="shared" si="82"/>
        <v>988341.77952098846</v>
      </c>
      <c r="BS54" s="10" t="e">
        <f>SUM(BS46:BS53)</f>
        <v>#REF!</v>
      </c>
      <c r="BT54" t="s">
        <v>132</v>
      </c>
    </row>
    <row r="55" spans="1:72">
      <c r="A55" s="6" t="s">
        <v>133</v>
      </c>
      <c r="B55" s="19"/>
      <c r="C55" s="82"/>
      <c r="D55" s="8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366"/>
      <c r="AX55" s="8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S55" s="4"/>
      <c r="BT55" t="s">
        <v>133</v>
      </c>
    </row>
    <row r="56" spans="1:72">
      <c r="A56" s="7" t="s">
        <v>134</v>
      </c>
      <c r="B56" s="285">
        <v>95584</v>
      </c>
      <c r="C56" s="375">
        <f>SUM(E56:AV56)</f>
        <v>96102.64</v>
      </c>
      <c r="D56" s="375">
        <v>26162.2</v>
      </c>
      <c r="E56" s="8">
        <v>25000</v>
      </c>
      <c r="F56" s="8">
        <v>0</v>
      </c>
      <c r="G56" s="8">
        <f>('June 2025 YTD'!C57*2)*2+4700+3000</f>
        <v>9700</v>
      </c>
      <c r="H56" s="8">
        <f>'June 2025 YTD'!D56*2</f>
        <v>0</v>
      </c>
      <c r="I56" s="8">
        <f>'June 2025 YTD'!E56*2</f>
        <v>0</v>
      </c>
      <c r="J56" s="8">
        <f>'June 2025 YTD'!F56*2</f>
        <v>0</v>
      </c>
      <c r="K56" s="8">
        <f>'June 2025 YTD'!G56*2</f>
        <v>0</v>
      </c>
      <c r="L56" s="8">
        <f>11384+137.13</f>
        <v>11521.13</v>
      </c>
      <c r="M56" s="8">
        <f>'June 2025 YTD'!I56*2</f>
        <v>0</v>
      </c>
      <c r="N56" s="8">
        <f>'June 2025 YTD'!J56*2</f>
        <v>0</v>
      </c>
      <c r="O56" s="8">
        <f>'June 2025 YTD'!K56*2</f>
        <v>0</v>
      </c>
      <c r="P56" s="8">
        <f>'June 2025 YTD'!L56*2</f>
        <v>0</v>
      </c>
      <c r="Q56" s="8">
        <f>'June 2025 YTD'!M56*2</f>
        <v>0</v>
      </c>
      <c r="R56" s="8">
        <v>6000</v>
      </c>
      <c r="S56" s="8">
        <f>'June 2025 YTD'!O56*2</f>
        <v>0</v>
      </c>
      <c r="T56" s="8">
        <f>'June 2025 YTD'!P56*2</f>
        <v>0</v>
      </c>
      <c r="U56" s="8">
        <f>500-153.33</f>
        <v>346.66999999999996</v>
      </c>
      <c r="V56" s="8">
        <f>'June 2025 YTD'!R56*2</f>
        <v>0</v>
      </c>
      <c r="W56" s="8">
        <f>'June 2025 YTD'!S56*2</f>
        <v>0</v>
      </c>
      <c r="X56" s="8">
        <f>'June 2025 YTD'!T56*2</f>
        <v>0</v>
      </c>
      <c r="Y56" s="8">
        <f>'June 2025 YTD'!U56*2</f>
        <v>0</v>
      </c>
      <c r="Z56" s="8">
        <f>'June 2025 YTD'!V56*2</f>
        <v>0</v>
      </c>
      <c r="AA56" s="8">
        <f>'June 2025 YTD'!W56*2</f>
        <v>0</v>
      </c>
      <c r="AB56" s="8">
        <f>'June 2025 YTD'!X56*2</f>
        <v>0</v>
      </c>
      <c r="AC56" s="8">
        <f>'June 2025 YTD'!Y56*2</f>
        <v>0</v>
      </c>
      <c r="AD56" s="8">
        <f>'June 2025 YTD'!Z56*2</f>
        <v>0</v>
      </c>
      <c r="AE56" s="8">
        <f>'June 2025 YTD'!AA56*2</f>
        <v>0</v>
      </c>
      <c r="AF56" s="8">
        <f>'June 2025 YTD'!AB56*2</f>
        <v>0</v>
      </c>
      <c r="AG56" s="8">
        <f>'June 2025 YTD'!AC56*2</f>
        <v>0</v>
      </c>
      <c r="AH56" s="8">
        <f>'June 2025 YTD'!AD56*2</f>
        <v>0</v>
      </c>
      <c r="AI56" s="8">
        <v>9000</v>
      </c>
      <c r="AJ56" s="8">
        <f>5000+534.84</f>
        <v>5534.84</v>
      </c>
      <c r="AK56" s="8">
        <v>5000</v>
      </c>
      <c r="AL56" s="8">
        <v>5000</v>
      </c>
      <c r="AM56" s="8">
        <f>'June 2025 YTD'!AI56*2+5000+5000-1029.76-2000</f>
        <v>8000</v>
      </c>
      <c r="AN56" s="8">
        <v>4000</v>
      </c>
      <c r="AO56" s="8">
        <f>'June 2025 YTD'!AK56*2</f>
        <v>0</v>
      </c>
      <c r="AP56" s="8">
        <f>'June 2025 YTD'!AL56*2</f>
        <v>0</v>
      </c>
      <c r="AQ56" s="8">
        <f>'June 2025 YTD'!AM56*2</f>
        <v>0</v>
      </c>
      <c r="AR56" s="8">
        <f>'June 2025 YTD'!AN56*2</f>
        <v>0</v>
      </c>
      <c r="AS56" s="8">
        <f>'June 2025 YTD'!AO56*2</f>
        <v>0</v>
      </c>
      <c r="AT56" s="8">
        <f>'June 2025 YTD'!AP56*2</f>
        <v>0</v>
      </c>
      <c r="AU56" s="8">
        <f>'June 2025 YTD'!AQ56*2</f>
        <v>0</v>
      </c>
      <c r="AV56" s="8">
        <v>7000</v>
      </c>
      <c r="AW56" s="364"/>
      <c r="AX56" s="8">
        <f t="shared" si="46"/>
        <v>0</v>
      </c>
      <c r="AY56" s="8">
        <f>'June 2024 YTD'!BI57*2</f>
        <v>0</v>
      </c>
      <c r="AZ56" s="8">
        <f>'June 2024 YTD'!BJ57*2</f>
        <v>0</v>
      </c>
      <c r="BA56" s="8">
        <f>'June 2024 YTD'!BK57*2</f>
        <v>0</v>
      </c>
      <c r="BB56" s="8">
        <f>'June 2024 YTD'!BL57*2</f>
        <v>0</v>
      </c>
      <c r="BC56" s="8">
        <f>'June 2024 YTD'!BM57*2</f>
        <v>0</v>
      </c>
      <c r="BD56" s="8">
        <f>'June 2024 YTD'!BN57*2</f>
        <v>0</v>
      </c>
      <c r="BE56" s="8">
        <f>'June 2024 YTD'!BO57*2</f>
        <v>0</v>
      </c>
      <c r="BF56" s="8">
        <f>'June 2024 YTD'!BP57*2</f>
        <v>0</v>
      </c>
      <c r="BG56" s="8">
        <f>'June 2024 YTD'!BQ57*2</f>
        <v>0</v>
      </c>
      <c r="BH56" s="8">
        <f>'June 2024 YTD'!BR57*2</f>
        <v>0</v>
      </c>
      <c r="BI56" s="8">
        <f>'June 2024 YTD'!BS57*2</f>
        <v>0</v>
      </c>
      <c r="BJ56" s="8">
        <f>'June 2024 YTD'!BT57*2</f>
        <v>0</v>
      </c>
      <c r="BK56" s="8">
        <f>'June 2024 YTD'!BU57*2</f>
        <v>0</v>
      </c>
      <c r="BL56" s="8">
        <f>'June 2024 YTD'!BV57*2</f>
        <v>0</v>
      </c>
      <c r="BM56" s="8">
        <f>SUM(G56:BL56)</f>
        <v>71102.64</v>
      </c>
      <c r="BS56" s="8" t="e">
        <f>SUM(B56:BL56)-#REF!-AV56-AP56-SUM(AY56:BL56)</f>
        <v>#REF!</v>
      </c>
      <c r="BT56" t="s">
        <v>134</v>
      </c>
    </row>
    <row r="57" spans="1:72">
      <c r="A57" s="9" t="s">
        <v>135</v>
      </c>
      <c r="B57" s="287">
        <f t="shared" ref="B57:AI57" si="83">SUM(B56)</f>
        <v>95584</v>
      </c>
      <c r="C57" s="377">
        <f t="shared" si="83"/>
        <v>96102.64</v>
      </c>
      <c r="D57" s="378">
        <f>SUM(D56)</f>
        <v>26162.2</v>
      </c>
      <c r="E57" s="10">
        <f>SUM(E56)</f>
        <v>25000</v>
      </c>
      <c r="F57" s="10">
        <f>SUM(F56)</f>
        <v>0</v>
      </c>
      <c r="G57" s="10">
        <f t="shared" si="83"/>
        <v>9700</v>
      </c>
      <c r="H57" s="10">
        <f t="shared" si="83"/>
        <v>0</v>
      </c>
      <c r="I57" s="10">
        <f t="shared" si="83"/>
        <v>0</v>
      </c>
      <c r="J57" s="10">
        <f t="shared" si="83"/>
        <v>0</v>
      </c>
      <c r="K57" s="10">
        <f t="shared" si="83"/>
        <v>0</v>
      </c>
      <c r="L57" s="10">
        <f t="shared" si="83"/>
        <v>11521.13</v>
      </c>
      <c r="M57" s="10">
        <f t="shared" si="83"/>
        <v>0</v>
      </c>
      <c r="N57" s="10">
        <f t="shared" si="83"/>
        <v>0</v>
      </c>
      <c r="O57" s="10">
        <f t="shared" si="83"/>
        <v>0</v>
      </c>
      <c r="P57" s="10">
        <f t="shared" si="83"/>
        <v>0</v>
      </c>
      <c r="Q57" s="10">
        <f t="shared" si="83"/>
        <v>0</v>
      </c>
      <c r="R57" s="10">
        <f t="shared" si="83"/>
        <v>6000</v>
      </c>
      <c r="S57" s="10">
        <f t="shared" si="83"/>
        <v>0</v>
      </c>
      <c r="T57" s="10">
        <f t="shared" si="83"/>
        <v>0</v>
      </c>
      <c r="U57" s="10">
        <f t="shared" si="83"/>
        <v>346.66999999999996</v>
      </c>
      <c r="V57" s="10">
        <f t="shared" si="83"/>
        <v>0</v>
      </c>
      <c r="W57" s="10">
        <f t="shared" si="83"/>
        <v>0</v>
      </c>
      <c r="X57" s="10">
        <f t="shared" si="83"/>
        <v>0</v>
      </c>
      <c r="Y57" s="10">
        <f t="shared" si="83"/>
        <v>0</v>
      </c>
      <c r="Z57" s="10">
        <f t="shared" si="83"/>
        <v>0</v>
      </c>
      <c r="AA57" s="10">
        <f t="shared" si="83"/>
        <v>0</v>
      </c>
      <c r="AB57" s="10">
        <f t="shared" si="83"/>
        <v>0</v>
      </c>
      <c r="AC57" s="10">
        <f t="shared" ref="AC57:AD57" si="84">SUM(AC56)</f>
        <v>0</v>
      </c>
      <c r="AD57" s="10">
        <f t="shared" si="84"/>
        <v>0</v>
      </c>
      <c r="AE57" s="10">
        <f t="shared" si="83"/>
        <v>0</v>
      </c>
      <c r="AF57" s="10">
        <f t="shared" si="83"/>
        <v>0</v>
      </c>
      <c r="AG57" s="10">
        <f t="shared" ref="AG57:AH57" si="85">SUM(AG56)</f>
        <v>0</v>
      </c>
      <c r="AH57" s="10">
        <f t="shared" si="85"/>
        <v>0</v>
      </c>
      <c r="AI57" s="10">
        <f t="shared" si="83"/>
        <v>9000</v>
      </c>
      <c r="AJ57" s="10">
        <f t="shared" ref="AJ57:AO57" si="86">SUM(AJ56)</f>
        <v>5534.84</v>
      </c>
      <c r="AK57" s="10">
        <f t="shared" si="86"/>
        <v>5000</v>
      </c>
      <c r="AL57" s="10">
        <f t="shared" si="86"/>
        <v>5000</v>
      </c>
      <c r="AM57" s="10">
        <f t="shared" si="86"/>
        <v>8000</v>
      </c>
      <c r="AN57" s="10">
        <f t="shared" si="86"/>
        <v>4000</v>
      </c>
      <c r="AO57" s="10">
        <f t="shared" si="86"/>
        <v>0</v>
      </c>
      <c r="AP57" s="10">
        <f t="shared" ref="AP57:BM57" si="87">SUM(AP56)</f>
        <v>0</v>
      </c>
      <c r="AQ57" s="10">
        <f t="shared" si="87"/>
        <v>0</v>
      </c>
      <c r="AR57" s="10">
        <f t="shared" si="87"/>
        <v>0</v>
      </c>
      <c r="AS57" s="10">
        <f t="shared" si="87"/>
        <v>0</v>
      </c>
      <c r="AT57" s="10">
        <f t="shared" si="87"/>
        <v>0</v>
      </c>
      <c r="AU57" s="10">
        <f t="shared" si="87"/>
        <v>0</v>
      </c>
      <c r="AV57" s="10">
        <f t="shared" si="87"/>
        <v>7000</v>
      </c>
      <c r="AW57" s="366"/>
      <c r="AX57" s="4">
        <f t="shared" si="46"/>
        <v>0</v>
      </c>
      <c r="AY57" s="10">
        <f t="shared" si="87"/>
        <v>0</v>
      </c>
      <c r="AZ57" s="10">
        <f t="shared" si="87"/>
        <v>0</v>
      </c>
      <c r="BA57" s="10">
        <f t="shared" si="87"/>
        <v>0</v>
      </c>
      <c r="BB57" s="10">
        <f t="shared" si="87"/>
        <v>0</v>
      </c>
      <c r="BC57" s="10">
        <f t="shared" si="87"/>
        <v>0</v>
      </c>
      <c r="BD57" s="10">
        <f t="shared" si="87"/>
        <v>0</v>
      </c>
      <c r="BE57" s="10">
        <f t="shared" si="87"/>
        <v>0</v>
      </c>
      <c r="BF57" s="10">
        <f t="shared" si="87"/>
        <v>0</v>
      </c>
      <c r="BG57" s="10">
        <f t="shared" si="87"/>
        <v>0</v>
      </c>
      <c r="BH57" s="10">
        <f t="shared" si="87"/>
        <v>0</v>
      </c>
      <c r="BI57" s="10">
        <f t="shared" si="87"/>
        <v>0</v>
      </c>
      <c r="BJ57" s="10">
        <f t="shared" si="87"/>
        <v>0</v>
      </c>
      <c r="BK57" s="10">
        <f t="shared" si="87"/>
        <v>0</v>
      </c>
      <c r="BL57" s="10">
        <f t="shared" si="87"/>
        <v>0</v>
      </c>
      <c r="BM57" s="10">
        <f t="shared" si="87"/>
        <v>71102.64</v>
      </c>
      <c r="BS57" s="10" t="e">
        <f t="shared" ref="BS57" si="88">SUM(BS56)</f>
        <v>#REF!</v>
      </c>
      <c r="BT57" t="s">
        <v>135</v>
      </c>
    </row>
    <row r="58" spans="1:72">
      <c r="A58" s="6" t="s">
        <v>136</v>
      </c>
      <c r="B58" s="19"/>
      <c r="C58" s="82"/>
      <c r="D58" s="82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366"/>
      <c r="AX58" s="8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S58" s="4"/>
      <c r="BT58" t="s">
        <v>136</v>
      </c>
    </row>
    <row r="59" spans="1:72">
      <c r="A59" s="7" t="s">
        <v>137</v>
      </c>
      <c r="B59" s="346">
        <v>435000</v>
      </c>
      <c r="C59" s="375">
        <f>SUM(E59:AV59)</f>
        <v>435665.00447948102</v>
      </c>
      <c r="D59" s="375">
        <v>410180.56</v>
      </c>
      <c r="E59" s="8">
        <f>$B$59*'2026 Labor Alloc $$'!AX78</f>
        <v>6494.4672378648129</v>
      </c>
      <c r="F59" s="8">
        <f>$B$59*'2026 Labor Alloc $$'!AY78</f>
        <v>7877.8907440207222</v>
      </c>
      <c r="G59" s="8">
        <f>$B$59*'2026 Labor Alloc $$'!H78</f>
        <v>55414.946235815143</v>
      </c>
      <c r="H59" s="8">
        <f>$B$59*'2026 Labor Alloc $$'!I78</f>
        <v>39366.154113111319</v>
      </c>
      <c r="I59" s="8">
        <f>$B$59*'2026 Labor Alloc $$'!J78</f>
        <v>7824.9473814730436</v>
      </c>
      <c r="J59" s="8">
        <f>$B$59*'2026 Labor Alloc $$'!K78</f>
        <v>9844.5571840096854</v>
      </c>
      <c r="K59" s="8">
        <f>$B$59*'2026 Labor Alloc $$'!L78</f>
        <v>3861.0910229408673</v>
      </c>
      <c r="L59" s="8">
        <f>$B$59*'2026 Labor Alloc $$'!M78</f>
        <v>11005.452131759386</v>
      </c>
      <c r="M59" s="8">
        <f>$B$59*'2026 Labor Alloc $$'!N78</f>
        <v>19210.942666757848</v>
      </c>
      <c r="N59" s="8">
        <f>$B$59*'2026 Labor Alloc $$'!O78</f>
        <v>50479.249078698776</v>
      </c>
      <c r="O59" s="8">
        <f>$B$59*'2026 Labor Alloc $$'!P78</f>
        <v>14569.657060021476</v>
      </c>
      <c r="P59" s="8">
        <f>$B$59*'2026 Labor Alloc $$'!Q78</f>
        <v>1557.1641988386202</v>
      </c>
      <c r="Q59" s="8">
        <f>$B$59*'2026 Labor Alloc $$'!R78</f>
        <v>12565.629584194756</v>
      </c>
      <c r="R59" s="8">
        <f>$B$59*'2026 Labor Alloc $$'!S78</f>
        <v>22497.057836841963</v>
      </c>
      <c r="S59" s="8">
        <f>$B$59*'2026 Labor Alloc $$'!T78</f>
        <v>8437.9893175114285</v>
      </c>
      <c r="T59" s="8">
        <f>$B$59*'2026 Labor Alloc $$'!U78</f>
        <v>1421.96101315699</v>
      </c>
      <c r="U59" s="8">
        <f>$B$59*'2026 Labor Alloc $$'!V78</f>
        <v>6256.7874621276451</v>
      </c>
      <c r="V59" s="8">
        <f>$B$59*'2026 Labor Alloc $$'!W78</f>
        <v>4754.9372827042125</v>
      </c>
      <c r="W59" s="8">
        <f>$B$59*'2026 Labor Alloc $$'!X78</f>
        <v>5467.500856471409</v>
      </c>
      <c r="X59" s="8">
        <f>$B$59*'2026 Labor Alloc $$'!Y78</f>
        <v>12932.63852765714</v>
      </c>
      <c r="Y59" s="8">
        <f>$B$59*'2026 Labor Alloc $$'!Z78</f>
        <v>2357.6398550224098</v>
      </c>
      <c r="Z59" s="8">
        <f>$B$59*'2026 Labor Alloc $$'!AA78</f>
        <v>4528.9201703378176</v>
      </c>
      <c r="AA59" s="8">
        <f>$B$59*'2026 Labor Alloc $$'!AB78+672.51</f>
        <v>2456.8067248782331</v>
      </c>
      <c r="AB59" s="8">
        <f>$B$59*'2026 Labor Alloc $$'!AC78</f>
        <v>28366.750863637619</v>
      </c>
      <c r="AC59" s="8">
        <f>$B$59*'2026 Labor Alloc $$'!AD78</f>
        <v>2765.0017965092266</v>
      </c>
      <c r="AD59" s="8">
        <f>$B$59*'2026 Labor Alloc $$'!AE78</f>
        <v>680.0683106402995</v>
      </c>
      <c r="AE59" s="8">
        <f>$B$59*'2026 Labor Alloc $$'!AF78+291.64</f>
        <v>1094.9533139177006</v>
      </c>
      <c r="AF59" s="8">
        <f>$B$59*'2026 Labor Alloc $$'!AG78-291.64</f>
        <v>79.306351258345217</v>
      </c>
      <c r="AG59" s="8">
        <f>$B$59*'2026 Labor Alloc $$'!AH78</f>
        <v>26013.737136866799</v>
      </c>
      <c r="AH59" s="8">
        <f>$B$59*'2026 Labor Alloc $$'!AI78</f>
        <v>13882.516962312344</v>
      </c>
      <c r="AI59" s="8">
        <f>$B$59*'2026 Labor Alloc $$'!AJ78</f>
        <v>3323.6770552613557</v>
      </c>
      <c r="AJ59" s="8">
        <f>$B$59*'2026 Labor Alloc $$'!AK78</f>
        <v>0</v>
      </c>
      <c r="AK59" s="8">
        <f>$B$59*'2026 Labor Alloc $$'!AL78</f>
        <v>242.86419207210187</v>
      </c>
      <c r="AL59" s="8">
        <f>$B$59*'2026 Labor Alloc $$'!AM78</f>
        <v>340.00986890094259</v>
      </c>
      <c r="AM59" s="8">
        <f>$B$59*'2026 Labor Alloc $$'!AN78</f>
        <v>971.45676828840749</v>
      </c>
      <c r="AN59" s="8">
        <f>$B$59*'2026 Labor Alloc $$'!AO78</f>
        <v>388.582707315363</v>
      </c>
      <c r="AO59" s="8">
        <f>$B$59*'2026 Labor Alloc $$'!AP78</f>
        <v>0</v>
      </c>
      <c r="AP59" s="8">
        <f>$B$59*'2026 Labor Alloc $$'!AQ78</f>
        <v>0</v>
      </c>
      <c r="AQ59" s="8">
        <f>$B$59*'2026 Labor Alloc $$'!AR78</f>
        <v>0</v>
      </c>
      <c r="AR59" s="8">
        <f>$B$59*'2026 Labor Alloc $$'!AS78</f>
        <v>8973.5270260001907</v>
      </c>
      <c r="AS59" s="8">
        <f>$B$59*'2026 Labor Alloc $$'!AT78</f>
        <v>2411.5853767864246</v>
      </c>
      <c r="AT59" s="8">
        <f>$B$59*'2026 Labor Alloc $$'!AU78</f>
        <v>25174.938295477219</v>
      </c>
      <c r="AU59" s="8">
        <f>$B$59*'2026 Labor Alloc $$'!AV78</f>
        <v>9771.6407680210177</v>
      </c>
      <c r="AV59" s="8">
        <f>$B$59*'2026 Labor Alloc $$'!AW78</f>
        <v>0</v>
      </c>
      <c r="AW59" s="364"/>
      <c r="AX59" s="8">
        <f t="shared" si="46"/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f>SUM(G59:BL59)</f>
        <v>421292.64649759547</v>
      </c>
      <c r="BN59" s="8">
        <f>SUM(G59:BM59)</f>
        <v>842585.29299519095</v>
      </c>
      <c r="BO59" s="8"/>
      <c r="BS59" s="8" t="e">
        <f>SUM(B59:BL59)-#REF!-AV59-AP59-SUM(AY59:BL59)</f>
        <v>#REF!</v>
      </c>
      <c r="BT59" t="s">
        <v>137</v>
      </c>
    </row>
    <row r="60" spans="1:72" hidden="1">
      <c r="A60" s="7" t="s">
        <v>626</v>
      </c>
      <c r="B60" s="285">
        <v>0</v>
      </c>
      <c r="C60" s="375">
        <f>SUM(G60:AV60)</f>
        <v>0</v>
      </c>
      <c r="D60" s="375"/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364"/>
      <c r="AX60" s="8">
        <f t="shared" si="46"/>
        <v>0</v>
      </c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>
        <f>SUM(G60:BL60)</f>
        <v>0</v>
      </c>
      <c r="BS60" s="8"/>
    </row>
    <row r="61" spans="1:72">
      <c r="A61" s="9" t="s">
        <v>138</v>
      </c>
      <c r="B61" s="349">
        <f>SUM(B59:B60)</f>
        <v>435000</v>
      </c>
      <c r="C61" s="378">
        <f>SUM(C59:C60)</f>
        <v>435665.00447948102</v>
      </c>
      <c r="D61" s="378">
        <f>SUM(D59:D60)</f>
        <v>410180.56</v>
      </c>
      <c r="E61" s="10">
        <f>SUM(E59)</f>
        <v>6494.4672378648129</v>
      </c>
      <c r="F61" s="10">
        <f>SUM(F59:F60)</f>
        <v>7877.8907440207222</v>
      </c>
      <c r="G61" s="10">
        <f t="shared" ref="G61:AI61" si="89">SUM(G59)</f>
        <v>55414.946235815143</v>
      </c>
      <c r="H61" s="10">
        <f t="shared" si="89"/>
        <v>39366.154113111319</v>
      </c>
      <c r="I61" s="10">
        <f t="shared" si="89"/>
        <v>7824.9473814730436</v>
      </c>
      <c r="J61" s="10">
        <f t="shared" si="89"/>
        <v>9844.5571840096854</v>
      </c>
      <c r="K61" s="10">
        <f t="shared" si="89"/>
        <v>3861.0910229408673</v>
      </c>
      <c r="L61" s="10">
        <f t="shared" si="89"/>
        <v>11005.452131759386</v>
      </c>
      <c r="M61" s="10">
        <f t="shared" si="89"/>
        <v>19210.942666757848</v>
      </c>
      <c r="N61" s="10">
        <f t="shared" si="89"/>
        <v>50479.249078698776</v>
      </c>
      <c r="O61" s="10">
        <f t="shared" si="89"/>
        <v>14569.657060021476</v>
      </c>
      <c r="P61" s="10">
        <f t="shared" si="89"/>
        <v>1557.1641988386202</v>
      </c>
      <c r="Q61" s="10">
        <f t="shared" si="89"/>
        <v>12565.629584194756</v>
      </c>
      <c r="R61" s="10">
        <f t="shared" si="89"/>
        <v>22497.057836841963</v>
      </c>
      <c r="S61" s="10">
        <f t="shared" si="89"/>
        <v>8437.9893175114285</v>
      </c>
      <c r="T61" s="10">
        <f t="shared" si="89"/>
        <v>1421.96101315699</v>
      </c>
      <c r="U61" s="10">
        <f t="shared" si="89"/>
        <v>6256.7874621276451</v>
      </c>
      <c r="V61" s="10">
        <f t="shared" si="89"/>
        <v>4754.9372827042125</v>
      </c>
      <c r="W61" s="10">
        <f t="shared" si="89"/>
        <v>5467.500856471409</v>
      </c>
      <c r="X61" s="10">
        <f t="shared" si="89"/>
        <v>12932.63852765714</v>
      </c>
      <c r="Y61" s="10">
        <f t="shared" si="89"/>
        <v>2357.6398550224098</v>
      </c>
      <c r="Z61" s="10">
        <f t="shared" si="89"/>
        <v>4528.9201703378176</v>
      </c>
      <c r="AA61" s="10">
        <f t="shared" si="89"/>
        <v>2456.8067248782331</v>
      </c>
      <c r="AB61" s="10">
        <f t="shared" si="89"/>
        <v>28366.750863637619</v>
      </c>
      <c r="AC61" s="10">
        <f t="shared" ref="AC61:AD61" si="90">SUM(AC59)</f>
        <v>2765.0017965092266</v>
      </c>
      <c r="AD61" s="10">
        <f t="shared" si="90"/>
        <v>680.0683106402995</v>
      </c>
      <c r="AE61" s="10">
        <f t="shared" si="89"/>
        <v>1094.9533139177006</v>
      </c>
      <c r="AF61" s="10">
        <f t="shared" si="89"/>
        <v>79.306351258345217</v>
      </c>
      <c r="AG61" s="10">
        <f t="shared" ref="AG61:AH61" si="91">SUM(AG59)</f>
        <v>26013.737136866799</v>
      </c>
      <c r="AH61" s="10">
        <f t="shared" si="91"/>
        <v>13882.516962312344</v>
      </c>
      <c r="AI61" s="10">
        <f t="shared" si="89"/>
        <v>3323.6770552613557</v>
      </c>
      <c r="AJ61" s="10">
        <f t="shared" ref="AJ61:AO61" si="92">SUM(AJ59)</f>
        <v>0</v>
      </c>
      <c r="AK61" s="10">
        <f t="shared" si="92"/>
        <v>242.86419207210187</v>
      </c>
      <c r="AL61" s="10">
        <f t="shared" si="92"/>
        <v>340.00986890094259</v>
      </c>
      <c r="AM61" s="10">
        <f t="shared" si="92"/>
        <v>971.45676828840749</v>
      </c>
      <c r="AN61" s="10">
        <f t="shared" si="92"/>
        <v>388.582707315363</v>
      </c>
      <c r="AO61" s="10">
        <f t="shared" si="92"/>
        <v>0</v>
      </c>
      <c r="AP61" s="10">
        <f t="shared" ref="AP61:BL61" si="93">SUM(AP59)</f>
        <v>0</v>
      </c>
      <c r="AQ61" s="10">
        <f t="shared" si="93"/>
        <v>0</v>
      </c>
      <c r="AR61" s="10">
        <f t="shared" si="93"/>
        <v>8973.5270260001907</v>
      </c>
      <c r="AS61" s="10">
        <f t="shared" si="93"/>
        <v>2411.5853767864246</v>
      </c>
      <c r="AT61" s="10">
        <f t="shared" si="93"/>
        <v>25174.938295477219</v>
      </c>
      <c r="AU61" s="10">
        <f t="shared" si="93"/>
        <v>9771.6407680210177</v>
      </c>
      <c r="AV61" s="10">
        <f>SUM(AV59:AV60)</f>
        <v>0</v>
      </c>
      <c r="AW61" s="366"/>
      <c r="AX61" s="4">
        <f t="shared" si="46"/>
        <v>0</v>
      </c>
      <c r="AY61" s="10">
        <f t="shared" si="93"/>
        <v>0</v>
      </c>
      <c r="AZ61" s="10">
        <f t="shared" si="93"/>
        <v>0</v>
      </c>
      <c r="BA61" s="10">
        <f t="shared" si="93"/>
        <v>0</v>
      </c>
      <c r="BB61" s="10">
        <f t="shared" si="93"/>
        <v>0</v>
      </c>
      <c r="BC61" s="10">
        <f t="shared" si="93"/>
        <v>0</v>
      </c>
      <c r="BD61" s="10">
        <f t="shared" si="93"/>
        <v>0</v>
      </c>
      <c r="BE61" s="10">
        <f t="shared" si="93"/>
        <v>0</v>
      </c>
      <c r="BF61" s="10">
        <f t="shared" si="93"/>
        <v>0</v>
      </c>
      <c r="BG61" s="10">
        <f t="shared" si="93"/>
        <v>0</v>
      </c>
      <c r="BH61" s="10">
        <f t="shared" si="93"/>
        <v>0</v>
      </c>
      <c r="BI61" s="10">
        <f t="shared" si="93"/>
        <v>0</v>
      </c>
      <c r="BJ61" s="10">
        <f t="shared" si="93"/>
        <v>0</v>
      </c>
      <c r="BK61" s="10">
        <f t="shared" si="93"/>
        <v>0</v>
      </c>
      <c r="BL61" s="10">
        <f t="shared" si="93"/>
        <v>0</v>
      </c>
      <c r="BM61" s="4">
        <f>SUM(B61:BL61)</f>
        <v>1716510.5689589626</v>
      </c>
      <c r="BS61" s="10" t="e">
        <f t="shared" ref="BS61" si="94">SUM(BS59)</f>
        <v>#REF!</v>
      </c>
      <c r="BT61" t="s">
        <v>138</v>
      </c>
    </row>
    <row r="62" spans="1:72">
      <c r="A62" s="6" t="s">
        <v>139</v>
      </c>
      <c r="B62" s="19"/>
      <c r="C62" s="82"/>
      <c r="D62" s="8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366"/>
      <c r="AX62" s="8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S62" s="4"/>
      <c r="BT62" t="s">
        <v>139</v>
      </c>
    </row>
    <row r="63" spans="1:72">
      <c r="A63" s="7" t="s">
        <v>140</v>
      </c>
      <c r="B63" s="285">
        <v>12196</v>
      </c>
      <c r="C63" s="375">
        <f>SUM(E63:AV63)</f>
        <v>12196.127</v>
      </c>
      <c r="D63" s="375">
        <v>9991.14</v>
      </c>
      <c r="E63" s="8">
        <v>103</v>
      </c>
      <c r="F63" s="8">
        <f>'June 2025 YTD'!B62*2*1.03</f>
        <v>0</v>
      </c>
      <c r="G63" s="8">
        <f>'June 2025 YTD'!C62*2*1.03</f>
        <v>3348.3240000000001</v>
      </c>
      <c r="H63" s="8">
        <f>'June 2025 YTD'!D62*2*1.03</f>
        <v>1288.7360000000001</v>
      </c>
      <c r="I63" s="8">
        <f>'June 2025 YTD'!E62*2*1.03</f>
        <v>0</v>
      </c>
      <c r="J63" s="8">
        <f>'June 2025 YTD'!F62*2*1.03</f>
        <v>0</v>
      </c>
      <c r="K63" s="8">
        <f>'June 2025 YTD'!G62*2*1.03</f>
        <v>466.77540000000005</v>
      </c>
      <c r="L63" s="8">
        <f>'June 2025 YTD'!H62*2*1.03</f>
        <v>259.14800000000002</v>
      </c>
      <c r="M63" s="8">
        <f>'June 2025 YTD'!I62*2*1.03</f>
        <v>1230.9735999999998</v>
      </c>
      <c r="N63" s="8">
        <f>'June 2025 YTD'!J62*2*1.03</f>
        <v>338.31380000000001</v>
      </c>
      <c r="O63" s="8">
        <f>'June 2025 YTD'!K62*2*1.03</f>
        <v>697.9692</v>
      </c>
      <c r="P63" s="8">
        <f>'June 2025 YTD'!L62*2*1.03</f>
        <v>0</v>
      </c>
      <c r="Q63" s="8">
        <f>'June 2025 YTD'!M62*2*1.03</f>
        <v>0</v>
      </c>
      <c r="R63" s="8">
        <f>'June 2025 YTD'!N62*2*1.03</f>
        <v>0</v>
      </c>
      <c r="S63" s="8">
        <f>'June 2025 YTD'!O62*2*1.03</f>
        <v>0</v>
      </c>
      <c r="T63" s="8">
        <f>'June 2025 YTD'!P62*2*1.03</f>
        <v>0</v>
      </c>
      <c r="U63" s="8">
        <f>'June 2025 YTD'!Q62*2*1.03</f>
        <v>0</v>
      </c>
      <c r="V63" s="8">
        <f>'June 2025 YTD'!R62*2*1.03</f>
        <v>0</v>
      </c>
      <c r="W63" s="8">
        <f>'June 2025 YTD'!S62*2*1.03</f>
        <v>0</v>
      </c>
      <c r="X63" s="8">
        <f>'June 2025 YTD'!T62*2*1.03</f>
        <v>0</v>
      </c>
      <c r="Y63" s="8">
        <f>'June 2025 YTD'!U62*2*1.03</f>
        <v>0</v>
      </c>
      <c r="Z63" s="8">
        <f>'June 2025 YTD'!V62*2*1.03</f>
        <v>0</v>
      </c>
      <c r="AA63" s="8">
        <f>'June 2025 YTD'!W62*2*1.03</f>
        <v>1877.7311999999999</v>
      </c>
      <c r="AB63" s="8">
        <f>'June 2025 YTD'!X62*2*1.03</f>
        <v>230.7612</v>
      </c>
      <c r="AC63" s="8">
        <f>'June 2025 YTD'!Y62*2*1.03</f>
        <v>0</v>
      </c>
      <c r="AD63" s="8">
        <f>'June 2025 YTD'!Z62*2*1.03</f>
        <v>0</v>
      </c>
      <c r="AE63" s="8">
        <f>'June 2025 YTD'!AA62*2*1.03</f>
        <v>0</v>
      </c>
      <c r="AF63" s="8">
        <f>'June 2025 YTD'!AB62*2*1.03</f>
        <v>0</v>
      </c>
      <c r="AG63" s="8">
        <f>'June 2025 YTD'!AC62*2*1.03</f>
        <v>1259.1132</v>
      </c>
      <c r="AH63" s="8">
        <f>'June 2025 YTD'!AD62*2*1.03</f>
        <v>0</v>
      </c>
      <c r="AI63" s="8">
        <f>'June 2025 YTD'!AE62*2*1.03</f>
        <v>345.42080000000004</v>
      </c>
      <c r="AJ63" s="8">
        <f>'June 2025 YTD'!AF62*2*1.03</f>
        <v>0</v>
      </c>
      <c r="AK63" s="8">
        <f>'June 2025 YTD'!AG62*2*1.03</f>
        <v>0</v>
      </c>
      <c r="AL63" s="8">
        <f>'June 2025 YTD'!AH62*2*1.03</f>
        <v>0</v>
      </c>
      <c r="AM63" s="8">
        <f>'June 2025 YTD'!AI62*2*1.03</f>
        <v>0</v>
      </c>
      <c r="AN63" s="8">
        <f>'June 2025 YTD'!AJ62*2*1.03</f>
        <v>0</v>
      </c>
      <c r="AO63" s="8">
        <f>'June 2025 YTD'!AK62*2*1.03</f>
        <v>0</v>
      </c>
      <c r="AP63" s="8">
        <v>0</v>
      </c>
      <c r="AQ63" s="8">
        <f>'June 2025 YTD'!AM62*2*1.03</f>
        <v>0</v>
      </c>
      <c r="AR63" s="8">
        <f>'June 2025 YTD'!AN62*2*1.03</f>
        <v>318.14640000000003</v>
      </c>
      <c r="AS63" s="8">
        <f>'June 2025 YTD'!AO62*2*1.03</f>
        <v>259.06560000000002</v>
      </c>
      <c r="AT63" s="8">
        <f>'June 2025 YTD'!AP62*2*1.03</f>
        <v>0</v>
      </c>
      <c r="AU63" s="8">
        <f>'June 2025 YTD'!AQ62*2*1.03</f>
        <v>172.64860000000002</v>
      </c>
      <c r="AV63" s="8">
        <f>'June 2025 YTD'!AR62*2*1.03</f>
        <v>0</v>
      </c>
      <c r="AW63" s="364"/>
      <c r="AX63" s="8">
        <f t="shared" si="46"/>
        <v>0</v>
      </c>
      <c r="AY63" s="8">
        <f t="shared" ref="AY63:BE65" si="95">AY198</f>
        <v>0</v>
      </c>
      <c r="AZ63" s="8">
        <f t="shared" si="95"/>
        <v>0</v>
      </c>
      <c r="BA63" s="8">
        <f t="shared" si="95"/>
        <v>0</v>
      </c>
      <c r="BB63" s="8">
        <f t="shared" si="95"/>
        <v>0</v>
      </c>
      <c r="BC63" s="8">
        <f t="shared" si="95"/>
        <v>0</v>
      </c>
      <c r="BD63" s="8">
        <f t="shared" si="95"/>
        <v>0</v>
      </c>
      <c r="BE63" s="8">
        <f t="shared" si="95"/>
        <v>0</v>
      </c>
      <c r="BF63" s="8">
        <f t="shared" ref="BF63:BL65" si="96">BF198</f>
        <v>0</v>
      </c>
      <c r="BG63" s="8">
        <f t="shared" si="96"/>
        <v>0</v>
      </c>
      <c r="BH63" s="8">
        <f t="shared" si="96"/>
        <v>0</v>
      </c>
      <c r="BI63" s="8">
        <f t="shared" si="96"/>
        <v>0</v>
      </c>
      <c r="BJ63" s="8">
        <f t="shared" si="96"/>
        <v>0</v>
      </c>
      <c r="BK63" s="8">
        <f t="shared" si="96"/>
        <v>0</v>
      </c>
      <c r="BL63" s="8">
        <f t="shared" si="96"/>
        <v>0</v>
      </c>
      <c r="BM63" s="8">
        <f>SUM(B63:BL63)</f>
        <v>46579.394</v>
      </c>
      <c r="BN63" s="85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63" s="85" t="e">
        <f>BM63-BN63</f>
        <v>#REF!</v>
      </c>
      <c r="BS63" s="8" t="e">
        <f>SUM(B63:BL63)-#REF!-AV63-AP63-SUM(AY63:BL63)</f>
        <v>#REF!</v>
      </c>
      <c r="BT63" t="s">
        <v>140</v>
      </c>
    </row>
    <row r="64" spans="1:72">
      <c r="A64" s="7" t="s">
        <v>141</v>
      </c>
      <c r="B64" s="285">
        <f>2600.3+9875.64</f>
        <v>12475.939999999999</v>
      </c>
      <c r="C64" s="375">
        <f t="shared" ref="C64:C65" si="97">SUM(E64:AV64)</f>
        <v>12315.461328700621</v>
      </c>
      <c r="D64" s="375">
        <v>1575.59</v>
      </c>
      <c r="E64" s="8">
        <v>26</v>
      </c>
      <c r="F64" s="8">
        <f>$B$64*'2026 Labor Alloc $$'!AY78</f>
        <v>225.94044195162732</v>
      </c>
      <c r="G64" s="8">
        <f>$B$64*'2026 Labor Alloc $$'!H78</f>
        <v>1589.3184927385184</v>
      </c>
      <c r="H64" s="8">
        <f>$B$64*'2026 Labor Alloc $$'!I78</f>
        <v>1129.0339695308735</v>
      </c>
      <c r="I64" s="8">
        <f>$B$64*'2026 Labor Alloc $$'!J78</f>
        <v>224.42200927451677</v>
      </c>
      <c r="J64" s="8">
        <f>$B$64*'2026 Labor Alloc $$'!K78</f>
        <v>282.34506840062937</v>
      </c>
      <c r="K64" s="8">
        <f>$B$64*'2026 Labor Alloc $$'!L78</f>
        <v>110.73733318792846</v>
      </c>
      <c r="L64" s="8">
        <f>$B$64*'2026 Labor Alloc $$'!M78</f>
        <v>315.63990912345332</v>
      </c>
      <c r="M64" s="8">
        <f>$B$64*'2026 Labor Alloc $$'!N78</f>
        <v>550.97601851473758</v>
      </c>
      <c r="N64" s="8">
        <f>$B$64*'2026 Labor Alloc $$'!O78</f>
        <v>1447.7611097721865</v>
      </c>
      <c r="O64" s="8">
        <f>$B$64*'2026 Labor Alloc $$'!P78</f>
        <v>417.86245356644667</v>
      </c>
      <c r="P64" s="8">
        <f>$B$64*'2026 Labor Alloc $$'!Q78</f>
        <v>44.659970378985506</v>
      </c>
      <c r="Q64" s="8">
        <f>$B$64*'2026 Labor Alloc $$'!R78</f>
        <v>360.38630058537632</v>
      </c>
      <c r="R64" s="8">
        <f>$B$64*'2026 Labor Alloc $$'!S78</f>
        <v>645.22285919303465</v>
      </c>
      <c r="S64" s="8">
        <f>$B$64*'2026 Labor Alloc $$'!T78</f>
        <v>242.00424930095065</v>
      </c>
      <c r="T64" s="8">
        <f>$B$64*'2026 Labor Alloc $$'!U78</f>
        <v>40.782299499967394</v>
      </c>
      <c r="U64" s="8">
        <f>$B$64*'2026 Labor Alloc $$'!V78</f>
        <v>179.44667809254429</v>
      </c>
      <c r="V64" s="8">
        <f>$B$64*'2026 Labor Alloc $$'!W78</f>
        <v>136.37313159259949</v>
      </c>
      <c r="W64" s="8">
        <f>$B$64*'2026 Labor Alloc $$'!X78</f>
        <v>156.80968421904805</v>
      </c>
      <c r="X64" s="8">
        <f>$B$64*'2026 Labor Alloc $$'!Y78</f>
        <v>370.91223520169837</v>
      </c>
      <c r="Y64" s="8">
        <f>$B$64*'2026 Labor Alloc $$'!Z78</f>
        <v>67.617869822685691</v>
      </c>
      <c r="Z64" s="8">
        <f>$B$64*'2026 Labor Alloc $$'!AA78</f>
        <v>129.8908880687917</v>
      </c>
      <c r="AA64" s="8">
        <f>$B$64*'2026 Labor Alloc $$'!AB78</f>
        <v>51.174204325924926</v>
      </c>
      <c r="AB64" s="8">
        <f>$B$64*'2026 Labor Alloc $$'!AC78</f>
        <v>813.56754429814032</v>
      </c>
      <c r="AC64" s="8">
        <f>$B$64*'2026 Labor Alloc $$'!AD78</f>
        <v>79.30114140952027</v>
      </c>
      <c r="AD64" s="8">
        <f>$B$64*'2026 Labor Alloc $$'!AE78</f>
        <v>19.504578021723535</v>
      </c>
      <c r="AE64" s="8">
        <f>$B$64*'2026 Labor Alloc $$'!AF78</f>
        <v>23.039284380777925</v>
      </c>
      <c r="AF64" s="8">
        <f>$B$64*'2026 Labor Alloc $$'!AG78</f>
        <v>10.638860739121927</v>
      </c>
      <c r="AG64" s="8">
        <f>$B$64*'2026 Labor Alloc $$'!AH78</f>
        <v>746.08235332257914</v>
      </c>
      <c r="AH64" s="8">
        <f>$B$64*'2026 Labor Alloc $$'!AI78</f>
        <v>398.15505441561163</v>
      </c>
      <c r="AI64" s="8">
        <f>$B$64*'2026 Labor Alloc $$'!AJ78</f>
        <v>95.324127634062876</v>
      </c>
      <c r="AJ64" s="8">
        <f>$B$64*'2026 Labor Alloc $$'!AK78</f>
        <v>0</v>
      </c>
      <c r="AK64" s="8">
        <f>$B$64*'2026 Labor Alloc $$'!AL78</f>
        <v>6.965423191816134</v>
      </c>
      <c r="AL64" s="8">
        <f>$B$64*'2026 Labor Alloc $$'!AM78</f>
        <v>9.7515924685425865</v>
      </c>
      <c r="AM64" s="8">
        <f>$B$64*'2026 Labor Alloc $$'!AN78</f>
        <v>27.861692767264536</v>
      </c>
      <c r="AN64" s="8">
        <f>$B$64*'2026 Labor Alloc $$'!AO78</f>
        <v>11.144677106905814</v>
      </c>
      <c r="AO64" s="8">
        <f>$B$64*'2026 Labor Alloc $$'!AP78</f>
        <v>0</v>
      </c>
      <c r="AP64" s="8">
        <f>$B$64*'2026 Labor Alloc $$'!AQ78</f>
        <v>0</v>
      </c>
      <c r="AQ64" s="8">
        <f>$B$64*'2026 Labor Alloc $$'!AR78</f>
        <v>0</v>
      </c>
      <c r="AR64" s="8">
        <f>$B$64*'2026 Labor Alloc $$'!AS78</f>
        <v>257.36364313737198</v>
      </c>
      <c r="AS64" s="8">
        <f>$B$64*'2026 Labor Alloc $$'!AT78</f>
        <v>69.165044748654765</v>
      </c>
      <c r="AT64" s="8">
        <f>$B$64*'2026 Labor Alloc $$'!AU78</f>
        <v>722.02533259327822</v>
      </c>
      <c r="AU64" s="8">
        <f>$B$64*'2026 Labor Alloc $$'!AV78</f>
        <v>280.25380212272211</v>
      </c>
      <c r="AV64" s="8">
        <f>$B$64*'2026 Labor Alloc $$'!AW78</f>
        <v>0</v>
      </c>
      <c r="AW64" s="364"/>
      <c r="AX64" s="8">
        <f t="shared" si="46"/>
        <v>0</v>
      </c>
      <c r="AY64" s="8">
        <f t="shared" si="95"/>
        <v>0</v>
      </c>
      <c r="AZ64" s="8">
        <f t="shared" si="95"/>
        <v>0</v>
      </c>
      <c r="BA64" s="8">
        <f t="shared" si="95"/>
        <v>0</v>
      </c>
      <c r="BB64" s="8">
        <f t="shared" si="95"/>
        <v>0</v>
      </c>
      <c r="BC64" s="8">
        <f t="shared" si="95"/>
        <v>0</v>
      </c>
      <c r="BD64" s="8">
        <f t="shared" si="95"/>
        <v>0</v>
      </c>
      <c r="BE64" s="8">
        <f t="shared" si="95"/>
        <v>0</v>
      </c>
      <c r="BF64" s="8">
        <f t="shared" si="96"/>
        <v>0</v>
      </c>
      <c r="BG64" s="8">
        <f t="shared" si="96"/>
        <v>0</v>
      </c>
      <c r="BH64" s="8">
        <f t="shared" si="96"/>
        <v>0</v>
      </c>
      <c r="BI64" s="8">
        <f t="shared" si="96"/>
        <v>0</v>
      </c>
      <c r="BJ64" s="8">
        <f t="shared" si="96"/>
        <v>0</v>
      </c>
      <c r="BK64" s="8">
        <f t="shared" si="96"/>
        <v>0</v>
      </c>
      <c r="BL64" s="8">
        <f t="shared" si="96"/>
        <v>0</v>
      </c>
      <c r="BM64" s="8">
        <f>SUM(B64:BL64)</f>
        <v>38682.452657401234</v>
      </c>
      <c r="BN64" s="85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64" s="85" t="e">
        <f>BM64-BN64</f>
        <v>#REF!</v>
      </c>
      <c r="BS64" s="8" t="e">
        <f>SUM(B64:BL64)-#REF!-AV64-AP64-SUM(AY64:BL64)</f>
        <v>#REF!</v>
      </c>
      <c r="BT64" t="s">
        <v>141</v>
      </c>
    </row>
    <row r="65" spans="1:72">
      <c r="A65" s="7" t="s">
        <v>142</v>
      </c>
      <c r="B65" s="285">
        <f>25338</f>
        <v>25338</v>
      </c>
      <c r="C65" s="375">
        <f t="shared" si="97"/>
        <v>25265.271297121999</v>
      </c>
      <c r="D65" s="375">
        <v>40959.81</v>
      </c>
      <c r="E65" s="8">
        <f>310-4</f>
        <v>306</v>
      </c>
      <c r="F65" s="8">
        <f>$B$65*'2026 Labor Alloc $$'!AY78</f>
        <v>458.87355326895874</v>
      </c>
      <c r="G65" s="8">
        <f>$B$65*'2026 Labor Alloc $$'!H78</f>
        <v>3227.8250752254808</v>
      </c>
      <c r="H65" s="8">
        <f>$B$65*'2026 Labor Alloc $$'!I78</f>
        <v>2293.010604409229</v>
      </c>
      <c r="I65" s="8">
        <f>$B$65*'2026 Labor Alloc $$'!J78</f>
        <v>455.78969368221601</v>
      </c>
      <c r="J65" s="8">
        <f>$B$65*'2026 Labor Alloc $$'!K78</f>
        <v>573.42848259410891</v>
      </c>
      <c r="K65" s="8">
        <f>$B$65*'2026 Labor Alloc $$'!L78</f>
        <v>224.90189503281769</v>
      </c>
      <c r="L65" s="8">
        <f>$B$65*'2026 Labor Alloc $$'!M78</f>
        <v>641.04861175751569</v>
      </c>
      <c r="M65" s="8">
        <f>$B$65*'2026 Labor Alloc $$'!N78</f>
        <v>1119.004288023702</v>
      </c>
      <c r="N65" s="8">
        <f>$B$65*'2026 Labor Alloc $$'!O78</f>
        <v>2940.3292256461368</v>
      </c>
      <c r="O65" s="8">
        <f>$B$65*'2026 Labor Alloc $$'!P78</f>
        <v>848.65740364787155</v>
      </c>
      <c r="P65" s="8">
        <f>$B$65*'2026 Labor Alloc $$'!Q78</f>
        <v>90.70212981648956</v>
      </c>
      <c r="Q65" s="8">
        <f>$B$65*'2026 Labor Alloc $$'!R78</f>
        <v>731.92625840075107</v>
      </c>
      <c r="R65" s="8">
        <f>$B$65*'2026 Labor Alloc $$'!S78</f>
        <v>1310.414830965291</v>
      </c>
      <c r="S65" s="8">
        <f>$B$65*'2026 Labor Alloc $$'!T78</f>
        <v>491.49832948759678</v>
      </c>
      <c r="T65" s="8">
        <f>$B$65*'2026 Labor Alloc $$'!U78</f>
        <v>82.826777359475429</v>
      </c>
      <c r="U65" s="8">
        <f>$B$65*'2026 Labor Alloc $$'!V78</f>
        <v>364.44708210434544</v>
      </c>
      <c r="V65" s="8">
        <f>$B$65*'2026 Labor Alloc $$'!W78</f>
        <v>276.96689854979155</v>
      </c>
      <c r="W65" s="8">
        <f>$B$65*'2026 Labor Alloc $$'!X78</f>
        <v>318.47249816384493</v>
      </c>
      <c r="X65" s="8">
        <f>$B$65*'2026 Labor Alloc $$'!Y78</f>
        <v>753.30389658339448</v>
      </c>
      <c r="Y65" s="8">
        <f>$B$65*'2026 Labor Alloc $$'!Z78</f>
        <v>137.32845665875359</v>
      </c>
      <c r="Z65" s="8">
        <f>$B$65*'2026 Labor Alloc $$'!AA78</f>
        <v>263.80179143912557</v>
      </c>
      <c r="AA65" s="8">
        <f>$B$65*'2026 Labor Alloc $$'!AB78</f>
        <v>103.9322078504935</v>
      </c>
      <c r="AB65" s="8">
        <f>$B$65*'2026 Labor Alloc $$'!AC78</f>
        <v>1652.3143296157471</v>
      </c>
      <c r="AC65" s="8">
        <f>$B$65*'2026 Labor Alloc $$'!AD78</f>
        <v>161.05658740218573</v>
      </c>
      <c r="AD65" s="8">
        <f>$B$65*'2026 Labor Alloc $$'!AE78</f>
        <v>39.612806563227373</v>
      </c>
      <c r="AE65" s="8">
        <f>$B$65*'2026 Labor Alloc $$'!AF78</f>
        <v>46.791615512751029</v>
      </c>
      <c r="AF65" s="8">
        <f>$B$65*'2026 Labor Alloc $$'!AG78</f>
        <v>21.606985398124024</v>
      </c>
      <c r="AG65" s="8">
        <f>$B$65*'2026 Labor Alloc $$'!AH78</f>
        <v>1515.2553369515654</v>
      </c>
      <c r="AH65" s="8">
        <f>$B$65*'2026 Labor Alloc $$'!AI78</f>
        <v>808.6326776806211</v>
      </c>
      <c r="AI65" s="8">
        <f>$B$65*'2026 Labor Alloc $$'!AJ78</f>
        <v>193.59845799129246</v>
      </c>
      <c r="AJ65" s="8">
        <f>$B$65*'2026 Labor Alloc $$'!AK78</f>
        <v>0</v>
      </c>
      <c r="AK65" s="8">
        <f>$B$65*'2026 Labor Alloc $$'!AL78</f>
        <v>14.146420456834292</v>
      </c>
      <c r="AL65" s="8">
        <f>$B$65*'2026 Labor Alloc $$'!AM78</f>
        <v>19.804988639568009</v>
      </c>
      <c r="AM65" s="8">
        <f>$B$65*'2026 Labor Alloc $$'!AN78</f>
        <v>56.585681827337169</v>
      </c>
      <c r="AN65" s="8">
        <f>$B$65*'2026 Labor Alloc $$'!AO78</f>
        <v>22.634272730934867</v>
      </c>
      <c r="AO65" s="8">
        <f>$B$65*'2026 Labor Alloc $$'!AP78</f>
        <v>0</v>
      </c>
      <c r="AP65" s="8">
        <f>$B$65*'2026 Labor Alloc $$'!AQ78</f>
        <v>0</v>
      </c>
      <c r="AQ65" s="8">
        <f>$B$65*'2026 Labor Alloc $$'!AR78</f>
        <v>0</v>
      </c>
      <c r="AR65" s="8">
        <f>$B$65*'2026 Labor Alloc $$'!AS78</f>
        <v>522.69247766619048</v>
      </c>
      <c r="AS65" s="8">
        <f>$B$65*'2026 Labor Alloc $$'!AT78</f>
        <v>140.47069029198718</v>
      </c>
      <c r="AT65" s="8">
        <f>$B$65*'2026 Labor Alloc $$'!AU78</f>
        <v>1466.3967506455215</v>
      </c>
      <c r="AU65" s="8">
        <f>$B$65*'2026 Labor Alloc $$'!AV78</f>
        <v>569.18122708072769</v>
      </c>
      <c r="AV65" s="8">
        <f>$B$65*'2026 Labor Alloc $$'!AW78</f>
        <v>0</v>
      </c>
      <c r="AW65" s="364"/>
      <c r="AX65" s="8">
        <f t="shared" si="46"/>
        <v>0</v>
      </c>
      <c r="AY65" s="8">
        <f t="shared" si="95"/>
        <v>0</v>
      </c>
      <c r="AZ65" s="8">
        <f t="shared" si="95"/>
        <v>0</v>
      </c>
      <c r="BA65" s="8">
        <f t="shared" si="95"/>
        <v>0</v>
      </c>
      <c r="BB65" s="8">
        <f t="shared" si="95"/>
        <v>0</v>
      </c>
      <c r="BC65" s="8">
        <f t="shared" si="95"/>
        <v>0</v>
      </c>
      <c r="BD65" s="8">
        <f t="shared" si="95"/>
        <v>0</v>
      </c>
      <c r="BE65" s="8">
        <f t="shared" si="95"/>
        <v>0</v>
      </c>
      <c r="BF65" s="8">
        <f t="shared" si="96"/>
        <v>0</v>
      </c>
      <c r="BG65" s="8">
        <f t="shared" si="96"/>
        <v>0</v>
      </c>
      <c r="BH65" s="8">
        <f t="shared" si="96"/>
        <v>0</v>
      </c>
      <c r="BI65" s="8">
        <f t="shared" si="96"/>
        <v>0</v>
      </c>
      <c r="BJ65" s="8">
        <f t="shared" si="96"/>
        <v>0</v>
      </c>
      <c r="BK65" s="8">
        <f t="shared" si="96"/>
        <v>0</v>
      </c>
      <c r="BL65" s="8">
        <f t="shared" si="96"/>
        <v>0</v>
      </c>
      <c r="BM65" s="8">
        <f>SUM(B65:BL65)</f>
        <v>116828.35259424402</v>
      </c>
      <c r="BN65" s="85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65" s="85" t="e">
        <f>BM65-BN65</f>
        <v>#REF!</v>
      </c>
      <c r="BS65" s="8" t="e">
        <f>SUM(B65:BL65)-#REF!-AV65-AP65-SUM(AY65:BL65)</f>
        <v>#REF!</v>
      </c>
      <c r="BT65" t="s">
        <v>142</v>
      </c>
    </row>
    <row r="66" spans="1:72">
      <c r="A66" s="9" t="s">
        <v>143</v>
      </c>
      <c r="B66" s="287">
        <f t="shared" ref="B66:BC66" si="98">SUM(B63:B65)</f>
        <v>50009.94</v>
      </c>
      <c r="C66" s="377">
        <f t="shared" si="98"/>
        <v>49776.859625822617</v>
      </c>
      <c r="D66" s="378">
        <f>SUM(D63:D65)</f>
        <v>52526.539999999994</v>
      </c>
      <c r="E66" s="10">
        <f>SUM(E63:E65)</f>
        <v>435</v>
      </c>
      <c r="F66" s="10">
        <f>SUM(F63:F65)</f>
        <v>684.81399522058609</v>
      </c>
      <c r="G66" s="10">
        <f>SUM(G63:G65)</f>
        <v>8165.4675679639995</v>
      </c>
      <c r="H66" s="10">
        <f t="shared" si="98"/>
        <v>4710.7805739401028</v>
      </c>
      <c r="I66" s="10">
        <f t="shared" si="98"/>
        <v>680.21170295673278</v>
      </c>
      <c r="J66" s="10">
        <f t="shared" si="98"/>
        <v>855.77355099473834</v>
      </c>
      <c r="K66" s="10">
        <f>SUM(K63:K65)</f>
        <v>802.41462822074618</v>
      </c>
      <c r="L66" s="10">
        <f t="shared" si="98"/>
        <v>1215.8365208809691</v>
      </c>
      <c r="M66" s="10">
        <f t="shared" si="98"/>
        <v>2900.9539065384392</v>
      </c>
      <c r="N66" s="10">
        <f t="shared" si="98"/>
        <v>4726.4041354183228</v>
      </c>
      <c r="O66" s="10">
        <f t="shared" si="98"/>
        <v>1964.4890572143181</v>
      </c>
      <c r="P66" s="10">
        <f t="shared" si="98"/>
        <v>135.36210019547508</v>
      </c>
      <c r="Q66" s="10">
        <f t="shared" si="98"/>
        <v>1092.3125589861274</v>
      </c>
      <c r="R66" s="10">
        <f t="shared" si="98"/>
        <v>1955.6376901583258</v>
      </c>
      <c r="S66" s="10">
        <f t="shared" si="98"/>
        <v>733.50257878854745</v>
      </c>
      <c r="T66" s="10">
        <f t="shared" si="98"/>
        <v>123.60907685944282</v>
      </c>
      <c r="U66" s="10">
        <f t="shared" si="98"/>
        <v>543.89376019688973</v>
      </c>
      <c r="V66" s="10">
        <f t="shared" si="98"/>
        <v>413.34003014239102</v>
      </c>
      <c r="W66" s="10">
        <f t="shared" si="98"/>
        <v>475.28218238289298</v>
      </c>
      <c r="X66" s="10">
        <f t="shared" si="98"/>
        <v>1124.2161317850928</v>
      </c>
      <c r="Y66" s="10">
        <f t="shared" si="98"/>
        <v>204.94632648143929</v>
      </c>
      <c r="Z66" s="10">
        <f t="shared" si="98"/>
        <v>393.69267950791726</v>
      </c>
      <c r="AA66" s="10">
        <f t="shared" si="98"/>
        <v>2032.8376121764184</v>
      </c>
      <c r="AB66" s="10">
        <f t="shared" si="98"/>
        <v>2696.6430739138873</v>
      </c>
      <c r="AC66" s="10">
        <f t="shared" ref="AC66:AD66" si="99">SUM(AC63:AC65)</f>
        <v>240.35772881170601</v>
      </c>
      <c r="AD66" s="10">
        <f t="shared" si="99"/>
        <v>59.117384584950912</v>
      </c>
      <c r="AE66" s="10">
        <f t="shared" si="98"/>
        <v>69.830899893528951</v>
      </c>
      <c r="AF66" s="10">
        <f t="shared" si="98"/>
        <v>32.245846137245948</v>
      </c>
      <c r="AG66" s="10">
        <f t="shared" ref="AG66:AH66" si="100">SUM(AG63:AG65)</f>
        <v>3520.4508902741445</v>
      </c>
      <c r="AH66" s="10">
        <f t="shared" si="100"/>
        <v>1206.7877320962327</v>
      </c>
      <c r="AI66" s="10">
        <f t="shared" ref="AI66" si="101">SUM(AI63:AI65)</f>
        <v>634.34338562535538</v>
      </c>
      <c r="AJ66" s="10">
        <f t="shared" ref="AJ66:AO66" si="102">SUM(AJ63:AJ65)</f>
        <v>0</v>
      </c>
      <c r="AK66" s="10">
        <f t="shared" si="102"/>
        <v>21.111843648650428</v>
      </c>
      <c r="AL66" s="10">
        <f t="shared" si="102"/>
        <v>29.556581108110596</v>
      </c>
      <c r="AM66" s="10">
        <f t="shared" si="102"/>
        <v>84.447374594601712</v>
      </c>
      <c r="AN66" s="10">
        <f t="shared" si="102"/>
        <v>33.778949837840685</v>
      </c>
      <c r="AO66" s="10">
        <f t="shared" si="102"/>
        <v>0</v>
      </c>
      <c r="AP66" s="10">
        <f t="shared" si="98"/>
        <v>0</v>
      </c>
      <c r="AQ66" s="10">
        <f t="shared" si="98"/>
        <v>0</v>
      </c>
      <c r="AR66" s="10">
        <f t="shared" si="98"/>
        <v>1098.2025208035625</v>
      </c>
      <c r="AS66" s="10">
        <f t="shared" si="98"/>
        <v>468.70133504064194</v>
      </c>
      <c r="AT66" s="10">
        <f t="shared" si="98"/>
        <v>2188.4220832387996</v>
      </c>
      <c r="AU66" s="10">
        <f t="shared" si="98"/>
        <v>1022.0836292034498</v>
      </c>
      <c r="AV66" s="10">
        <f t="shared" si="98"/>
        <v>0</v>
      </c>
      <c r="AW66" s="366"/>
      <c r="AX66" s="4">
        <f t="shared" si="46"/>
        <v>0</v>
      </c>
      <c r="AY66" s="10">
        <f t="shared" si="98"/>
        <v>0</v>
      </c>
      <c r="AZ66" s="10">
        <f t="shared" si="98"/>
        <v>0</v>
      </c>
      <c r="BA66" s="10">
        <f t="shared" si="98"/>
        <v>0</v>
      </c>
      <c r="BB66" s="10">
        <f t="shared" si="98"/>
        <v>0</v>
      </c>
      <c r="BC66" s="10">
        <f t="shared" si="98"/>
        <v>0</v>
      </c>
      <c r="BD66" s="10">
        <f t="shared" ref="BD66:BN66" si="103">SUM(BD63:BD65)</f>
        <v>0</v>
      </c>
      <c r="BE66" s="10">
        <f t="shared" si="103"/>
        <v>0</v>
      </c>
      <c r="BF66" s="10">
        <f t="shared" si="103"/>
        <v>0</v>
      </c>
      <c r="BG66" s="10">
        <f t="shared" si="103"/>
        <v>0</v>
      </c>
      <c r="BH66" s="10">
        <f t="shared" si="103"/>
        <v>0</v>
      </c>
      <c r="BI66" s="10">
        <f t="shared" si="103"/>
        <v>0</v>
      </c>
      <c r="BJ66" s="10">
        <f t="shared" si="103"/>
        <v>0</v>
      </c>
      <c r="BK66" s="10">
        <f t="shared" si="103"/>
        <v>0</v>
      </c>
      <c r="BL66" s="10">
        <f t="shared" si="103"/>
        <v>0</v>
      </c>
      <c r="BM66" s="10">
        <f t="shared" si="103"/>
        <v>202090.19925164524</v>
      </c>
      <c r="BN66" s="10" t="e">
        <f t="shared" si="103"/>
        <v>#REF!</v>
      </c>
      <c r="BO66" s="114" t="e">
        <f>BM66-BN66</f>
        <v>#REF!</v>
      </c>
      <c r="BS66" s="10" t="e">
        <f t="shared" ref="BS66" si="104">SUM(BS63:BS65)</f>
        <v>#REF!</v>
      </c>
      <c r="BT66" t="s">
        <v>143</v>
      </c>
    </row>
    <row r="67" spans="1:72">
      <c r="A67" s="6" t="s">
        <v>144</v>
      </c>
      <c r="B67" s="19"/>
      <c r="C67" s="82"/>
      <c r="D67" s="82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366"/>
      <c r="AX67" s="8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O67" s="85"/>
      <c r="BS67" s="4"/>
      <c r="BT67" t="s">
        <v>144</v>
      </c>
    </row>
    <row r="68" spans="1:72">
      <c r="A68" s="7" t="s">
        <v>145</v>
      </c>
      <c r="B68" s="285">
        <v>561</v>
      </c>
      <c r="C68" s="375">
        <f>SUM(E68:AV68)</f>
        <v>561</v>
      </c>
      <c r="D68" s="375">
        <v>372.53</v>
      </c>
      <c r="E68" s="8">
        <f>'June 2025 YTD'!C67*2</f>
        <v>0</v>
      </c>
      <c r="F68" s="8">
        <v>0</v>
      </c>
      <c r="G68" s="8">
        <f>'June 2025 YTD'!C67*2</f>
        <v>0</v>
      </c>
      <c r="H68" s="8">
        <f>'June 2025 YTD'!D67*2</f>
        <v>0</v>
      </c>
      <c r="I68" s="8">
        <f>'June 2025 YTD'!E67*2</f>
        <v>0</v>
      </c>
      <c r="J68" s="8">
        <f>'June 2025 YTD'!F67*2</f>
        <v>0</v>
      </c>
      <c r="K68" s="8">
        <f>'June 2025 YTD'!G67*2</f>
        <v>0</v>
      </c>
      <c r="L68" s="8">
        <f>'June 2025 YTD'!H67*2</f>
        <v>0</v>
      </c>
      <c r="M68" s="8">
        <f>'June 2025 YTD'!I67*2</f>
        <v>0</v>
      </c>
      <c r="N68" s="8">
        <f>'June 2025 YTD'!J67*2</f>
        <v>0</v>
      </c>
      <c r="O68" s="8">
        <f>'June 2025 YTD'!K67*2</f>
        <v>0</v>
      </c>
      <c r="P68" s="8">
        <f>'June 2025 YTD'!L67*2</f>
        <v>0</v>
      </c>
      <c r="Q68" s="8">
        <f>'June 2025 YTD'!M67*2</f>
        <v>0</v>
      </c>
      <c r="R68" s="8">
        <v>561</v>
      </c>
      <c r="S68" s="8">
        <f>'June 2025 YTD'!O67*2</f>
        <v>0</v>
      </c>
      <c r="T68" s="8">
        <f>'June 2025 YTD'!P67*2</f>
        <v>0</v>
      </c>
      <c r="U68" s="8">
        <f>'June 2025 YTD'!Q67*2</f>
        <v>0</v>
      </c>
      <c r="V68" s="8">
        <f>'June 2025 YTD'!R67*2</f>
        <v>0</v>
      </c>
      <c r="W68" s="8">
        <f>'June 2025 YTD'!S67*2</f>
        <v>0</v>
      </c>
      <c r="X68" s="8">
        <f>'June 2025 YTD'!T67*2</f>
        <v>0</v>
      </c>
      <c r="Y68" s="8">
        <f>'June 2025 YTD'!U67*2</f>
        <v>0</v>
      </c>
      <c r="Z68" s="8">
        <f>'June 2025 YTD'!V67*2</f>
        <v>0</v>
      </c>
      <c r="AA68" s="8">
        <f>'June 2025 YTD'!W67*2</f>
        <v>0</v>
      </c>
      <c r="AB68" s="8">
        <f>'June 2025 YTD'!X67*2</f>
        <v>0</v>
      </c>
      <c r="AC68" s="8">
        <f>'June 2025 YTD'!Y67*2</f>
        <v>0</v>
      </c>
      <c r="AD68" s="8">
        <f>'June 2025 YTD'!Z67*2</f>
        <v>0</v>
      </c>
      <c r="AE68" s="8">
        <f>'June 2025 YTD'!AA67*2</f>
        <v>0</v>
      </c>
      <c r="AF68" s="8">
        <f>'June 2025 YTD'!AB67*2</f>
        <v>0</v>
      </c>
      <c r="AG68" s="8">
        <f>'June 2025 YTD'!AC67*2</f>
        <v>0</v>
      </c>
      <c r="AH68" s="8">
        <f>'June 2025 YTD'!AD67*2</f>
        <v>0</v>
      </c>
      <c r="AI68" s="8">
        <f>'June 2025 YTD'!AE67*2</f>
        <v>0</v>
      </c>
      <c r="AJ68" s="8">
        <f>'June 2025 YTD'!AF67*2</f>
        <v>0</v>
      </c>
      <c r="AK68" s="8">
        <f>'June 2025 YTD'!AG67*2</f>
        <v>0</v>
      </c>
      <c r="AL68" s="8">
        <f>'June 2025 YTD'!AH67*2</f>
        <v>0</v>
      </c>
      <c r="AM68" s="8">
        <f>'June 2025 YTD'!AI67*2</f>
        <v>0</v>
      </c>
      <c r="AN68" s="8">
        <f>'June 2025 YTD'!AJ67*2</f>
        <v>0</v>
      </c>
      <c r="AO68" s="8">
        <f>'June 2025 YTD'!AK67*2</f>
        <v>0</v>
      </c>
      <c r="AP68" s="8">
        <f>'June 2025 YTD'!AL67*2</f>
        <v>0</v>
      </c>
      <c r="AQ68" s="8">
        <f>'June 2025 YTD'!AM67*2</f>
        <v>0</v>
      </c>
      <c r="AR68" s="8">
        <f>'June 2025 YTD'!AN67*2</f>
        <v>0</v>
      </c>
      <c r="AS68" s="8">
        <f>'June 2025 YTD'!AO67*2</f>
        <v>0</v>
      </c>
      <c r="AT68" s="8">
        <f>'June 2025 YTD'!AP67*2</f>
        <v>0</v>
      </c>
      <c r="AU68" s="8">
        <f>'June 2025 YTD'!AQ67*2</f>
        <v>0</v>
      </c>
      <c r="AV68" s="8">
        <f>'June 2025 YTD'!AR67*2</f>
        <v>0</v>
      </c>
      <c r="AW68" s="364"/>
      <c r="AX68" s="8">
        <f t="shared" si="46"/>
        <v>0</v>
      </c>
      <c r="AY68" s="8">
        <f>('June 2024 YTD'!BI68*2)*1.03</f>
        <v>0</v>
      </c>
      <c r="AZ68" s="8">
        <f>('June 2024 YTD'!BJ68*2)*1.03</f>
        <v>0</v>
      </c>
      <c r="BA68" s="8">
        <f>('June 2024 YTD'!BK68*2)*1.03</f>
        <v>0</v>
      </c>
      <c r="BB68" s="8">
        <f>('June 2024 YTD'!BL68*2)*1.03</f>
        <v>0</v>
      </c>
      <c r="BC68" s="8">
        <f>('June 2024 YTD'!BM68*2)*1.03</f>
        <v>0</v>
      </c>
      <c r="BD68" s="8">
        <f>('June 2024 YTD'!BN68*2)*1.03</f>
        <v>0</v>
      </c>
      <c r="BE68" s="8">
        <f>('June 2024 YTD'!BO68*2)*1.03</f>
        <v>0</v>
      </c>
      <c r="BF68" s="8">
        <f>('June 2024 YTD'!BP68*2)*1.03</f>
        <v>0</v>
      </c>
      <c r="BG68" s="8">
        <f>('June 2024 YTD'!BQ68*2)*1.03</f>
        <v>0</v>
      </c>
      <c r="BH68" s="8">
        <f>('June 2024 YTD'!BR68*2)*1.03</f>
        <v>0</v>
      </c>
      <c r="BI68" s="8">
        <f>('June 2024 YTD'!BS68*2)*1.03</f>
        <v>0</v>
      </c>
      <c r="BJ68" s="8">
        <f>('June 2024 YTD'!BT68*2)*1.03</f>
        <v>0</v>
      </c>
      <c r="BK68" s="8">
        <f>('June 2024 YTD'!BU68*2)*1.03</f>
        <v>0</v>
      </c>
      <c r="BL68" s="8">
        <f>('June 2024 YTD'!BV68*2)*1.03</f>
        <v>0</v>
      </c>
      <c r="BM68" s="8">
        <f>SUM(G68:BL68)</f>
        <v>561</v>
      </c>
      <c r="BN68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68" s="85" t="e">
        <f>BM68-BN68</f>
        <v>#REF!</v>
      </c>
      <c r="BS68" s="8" t="e">
        <f>SUM(B68:BL68)-#REF!-AV68-AP68-SUM(AY68:BL68)</f>
        <v>#REF!</v>
      </c>
      <c r="BT68" t="s">
        <v>145</v>
      </c>
    </row>
    <row r="69" spans="1:72">
      <c r="A69" s="7" t="s">
        <v>146</v>
      </c>
      <c r="B69" s="285">
        <v>360</v>
      </c>
      <c r="C69" s="375">
        <f>SUM(E69:AV69)</f>
        <v>360</v>
      </c>
      <c r="D69" s="375">
        <v>337.68</v>
      </c>
      <c r="E69" s="8">
        <v>60</v>
      </c>
      <c r="F69" s="8">
        <v>0</v>
      </c>
      <c r="G69" s="8">
        <v>0</v>
      </c>
      <c r="H69" s="8">
        <f>'June 2025 YTD'!D68*2</f>
        <v>0</v>
      </c>
      <c r="I69" s="8">
        <f>'June 2025 YTD'!E68*2</f>
        <v>0</v>
      </c>
      <c r="J69" s="8">
        <f>'June 2025 YTD'!F68*2</f>
        <v>0</v>
      </c>
      <c r="K69" s="8">
        <f>'June 2025 YTD'!G68*2</f>
        <v>0</v>
      </c>
      <c r="L69" s="8">
        <v>300</v>
      </c>
      <c r="M69" s="8">
        <f>'June 2025 YTD'!I68*2</f>
        <v>0</v>
      </c>
      <c r="N69" s="8">
        <f>'June 2025 YTD'!J68*2</f>
        <v>0</v>
      </c>
      <c r="O69" s="8">
        <f>'June 2025 YTD'!K68*2</f>
        <v>0</v>
      </c>
      <c r="P69" s="8">
        <f>'June 2025 YTD'!L68*2</f>
        <v>0</v>
      </c>
      <c r="Q69" s="8">
        <f>'June 2025 YTD'!M68*2</f>
        <v>0</v>
      </c>
      <c r="R69" s="8">
        <f>'June 2025 YTD'!N68*2</f>
        <v>0</v>
      </c>
      <c r="S69" s="8">
        <f>'June 2025 YTD'!O68*2</f>
        <v>0</v>
      </c>
      <c r="T69" s="8">
        <f>'June 2025 YTD'!P68*2</f>
        <v>0</v>
      </c>
      <c r="U69" s="8">
        <f>'June 2025 YTD'!Q68*2</f>
        <v>0</v>
      </c>
      <c r="V69" s="8">
        <f>'June 2025 YTD'!R68*2</f>
        <v>0</v>
      </c>
      <c r="W69" s="8">
        <f>'June 2025 YTD'!S68*2</f>
        <v>0</v>
      </c>
      <c r="X69" s="8">
        <f>'June 2025 YTD'!T68*2</f>
        <v>0</v>
      </c>
      <c r="Y69" s="8">
        <f>'June 2025 YTD'!U68*2</f>
        <v>0</v>
      </c>
      <c r="Z69" s="8">
        <f>'June 2025 YTD'!V68*2</f>
        <v>0</v>
      </c>
      <c r="AA69" s="8">
        <f>'June 2025 YTD'!W68*2</f>
        <v>0</v>
      </c>
      <c r="AB69" s="8">
        <f>'June 2025 YTD'!X68*2</f>
        <v>0</v>
      </c>
      <c r="AC69" s="8">
        <f>'June 2025 YTD'!Y68*2</f>
        <v>0</v>
      </c>
      <c r="AD69" s="8">
        <f>'June 2025 YTD'!Z68*2</f>
        <v>0</v>
      </c>
      <c r="AE69" s="8">
        <f>'June 2025 YTD'!AA68*2</f>
        <v>0</v>
      </c>
      <c r="AF69" s="8">
        <f>'June 2025 YTD'!AB68*2</f>
        <v>0</v>
      </c>
      <c r="AG69" s="8">
        <f>'June 2025 YTD'!AC68*2</f>
        <v>0</v>
      </c>
      <c r="AH69" s="8">
        <f>'June 2025 YTD'!AD68*2</f>
        <v>0</v>
      </c>
      <c r="AI69" s="8">
        <f>'June 2025 YTD'!AE68*2</f>
        <v>0</v>
      </c>
      <c r="AJ69" s="8">
        <f>'June 2025 YTD'!AF68*2</f>
        <v>0</v>
      </c>
      <c r="AK69" s="8">
        <f>'June 2025 YTD'!AG68*2</f>
        <v>0</v>
      </c>
      <c r="AL69" s="8">
        <f>'June 2025 YTD'!AH68*2</f>
        <v>0</v>
      </c>
      <c r="AM69" s="8">
        <f>'June 2025 YTD'!AI68*2</f>
        <v>0</v>
      </c>
      <c r="AN69" s="8">
        <f>'June 2025 YTD'!AJ68*2</f>
        <v>0</v>
      </c>
      <c r="AO69" s="8">
        <f>'June 2025 YTD'!AK68*2</f>
        <v>0</v>
      </c>
      <c r="AP69" s="8">
        <f>'June 2025 YTD'!AL68*2</f>
        <v>0</v>
      </c>
      <c r="AQ69" s="8">
        <f>'June 2025 YTD'!AM68*2</f>
        <v>0</v>
      </c>
      <c r="AR69" s="8">
        <f>'June 2025 YTD'!AN68*2</f>
        <v>0</v>
      </c>
      <c r="AS69" s="8">
        <f>'June 2025 YTD'!AO68*2</f>
        <v>0</v>
      </c>
      <c r="AT69" s="8">
        <f>'June 2025 YTD'!AP68*2</f>
        <v>0</v>
      </c>
      <c r="AU69" s="8">
        <f>'June 2025 YTD'!AQ68*2</f>
        <v>0</v>
      </c>
      <c r="AV69" s="8">
        <f>'June 2025 YTD'!AR68*2</f>
        <v>0</v>
      </c>
      <c r="AW69" s="364"/>
      <c r="AX69" s="8">
        <f t="shared" si="46"/>
        <v>0</v>
      </c>
      <c r="AY69" s="8">
        <f>('June 2024 YTD'!BI69*2)*1.03</f>
        <v>0</v>
      </c>
      <c r="AZ69" s="8">
        <f>('June 2024 YTD'!BJ69*2)*1.03</f>
        <v>0</v>
      </c>
      <c r="BA69" s="8">
        <f>('June 2024 YTD'!BK69*2)*1.03</f>
        <v>0</v>
      </c>
      <c r="BB69" s="8">
        <f>('June 2024 YTD'!BL69*2)*1.03</f>
        <v>0</v>
      </c>
      <c r="BC69" s="8">
        <f>('June 2024 YTD'!BM69*2)*1.03</f>
        <v>0</v>
      </c>
      <c r="BD69" s="8">
        <f>('June 2024 YTD'!BN69*2)*1.03</f>
        <v>0</v>
      </c>
      <c r="BE69" s="8">
        <f>('June 2024 YTD'!BO69*2)*1.03</f>
        <v>0</v>
      </c>
      <c r="BF69" s="8">
        <f>('June 2024 YTD'!BP69*2)*1.03</f>
        <v>0</v>
      </c>
      <c r="BG69" s="8">
        <f>('June 2024 YTD'!BQ69*2)*1.03</f>
        <v>0</v>
      </c>
      <c r="BH69" s="8">
        <f>('June 2024 YTD'!BR69*2)*1.03</f>
        <v>0</v>
      </c>
      <c r="BI69" s="8">
        <f>('June 2024 YTD'!BS69*2)*1.03</f>
        <v>0</v>
      </c>
      <c r="BJ69" s="8">
        <f>('June 2024 YTD'!BT69*2)*1.03</f>
        <v>0</v>
      </c>
      <c r="BK69" s="8">
        <f>('June 2024 YTD'!BU69*2)*1.03</f>
        <v>0</v>
      </c>
      <c r="BL69" s="8">
        <f>('June 2024 YTD'!BV69*2)*1.03</f>
        <v>0</v>
      </c>
      <c r="BM69" s="8">
        <f>SUM(G69:BL69)</f>
        <v>300</v>
      </c>
      <c r="BN69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69" s="85" t="e">
        <f>BM69-BN69</f>
        <v>#REF!</v>
      </c>
      <c r="BS69" s="8" t="e">
        <f>SUM(B69:BL69)-#REF!-AV69-AP69-SUM(AY69:BL69)</f>
        <v>#REF!</v>
      </c>
      <c r="BT69" t="s">
        <v>146</v>
      </c>
    </row>
    <row r="70" spans="1:72">
      <c r="A70" s="9" t="s">
        <v>147</v>
      </c>
      <c r="B70" s="287">
        <f t="shared" ref="B70:BC70" si="105">SUM(B68:B69)</f>
        <v>921</v>
      </c>
      <c r="C70" s="377">
        <f t="shared" si="105"/>
        <v>921</v>
      </c>
      <c r="D70" s="378">
        <f>SUM(D68:D69)</f>
        <v>710.21</v>
      </c>
      <c r="E70" s="10">
        <f>SUM(E68:E69)</f>
        <v>60</v>
      </c>
      <c r="F70" s="10">
        <f>SUM(F68:F69)</f>
        <v>0</v>
      </c>
      <c r="G70" s="10">
        <f t="shared" si="105"/>
        <v>0</v>
      </c>
      <c r="H70" s="10">
        <f t="shared" si="105"/>
        <v>0</v>
      </c>
      <c r="I70" s="10">
        <f t="shared" si="105"/>
        <v>0</v>
      </c>
      <c r="J70" s="10">
        <f t="shared" si="105"/>
        <v>0</v>
      </c>
      <c r="K70" s="10">
        <f t="shared" si="105"/>
        <v>0</v>
      </c>
      <c r="L70" s="10">
        <f t="shared" si="105"/>
        <v>300</v>
      </c>
      <c r="M70" s="10">
        <f t="shared" si="105"/>
        <v>0</v>
      </c>
      <c r="N70" s="10">
        <f t="shared" si="105"/>
        <v>0</v>
      </c>
      <c r="O70" s="10">
        <f t="shared" si="105"/>
        <v>0</v>
      </c>
      <c r="P70" s="10">
        <f t="shared" si="105"/>
        <v>0</v>
      </c>
      <c r="Q70" s="10">
        <f t="shared" si="105"/>
        <v>0</v>
      </c>
      <c r="R70" s="10">
        <f t="shared" si="105"/>
        <v>561</v>
      </c>
      <c r="S70" s="10">
        <f t="shared" si="105"/>
        <v>0</v>
      </c>
      <c r="T70" s="10">
        <f t="shared" si="105"/>
        <v>0</v>
      </c>
      <c r="U70" s="10">
        <f t="shared" si="105"/>
        <v>0</v>
      </c>
      <c r="V70" s="10">
        <f t="shared" si="105"/>
        <v>0</v>
      </c>
      <c r="W70" s="10">
        <f t="shared" si="105"/>
        <v>0</v>
      </c>
      <c r="X70" s="10">
        <f t="shared" si="105"/>
        <v>0</v>
      </c>
      <c r="Y70" s="10">
        <f t="shared" si="105"/>
        <v>0</v>
      </c>
      <c r="Z70" s="10">
        <f t="shared" si="105"/>
        <v>0</v>
      </c>
      <c r="AA70" s="10">
        <f t="shared" si="105"/>
        <v>0</v>
      </c>
      <c r="AB70" s="10">
        <f t="shared" si="105"/>
        <v>0</v>
      </c>
      <c r="AC70" s="10">
        <f t="shared" ref="AC70:AD70" si="106">SUM(AC68:AC69)</f>
        <v>0</v>
      </c>
      <c r="AD70" s="10">
        <f t="shared" si="106"/>
        <v>0</v>
      </c>
      <c r="AE70" s="10">
        <f t="shared" si="105"/>
        <v>0</v>
      </c>
      <c r="AF70" s="10">
        <f t="shared" si="105"/>
        <v>0</v>
      </c>
      <c r="AG70" s="10">
        <f t="shared" ref="AG70:AH70" si="107">SUM(AG68:AG69)</f>
        <v>0</v>
      </c>
      <c r="AH70" s="10">
        <f t="shared" si="107"/>
        <v>0</v>
      </c>
      <c r="AI70" s="10">
        <f t="shared" ref="AI70" si="108">SUM(AI68:AI69)</f>
        <v>0</v>
      </c>
      <c r="AJ70" s="10">
        <f t="shared" ref="AJ70:AO70" si="109">SUM(AJ68:AJ69)</f>
        <v>0</v>
      </c>
      <c r="AK70" s="10">
        <f t="shared" si="109"/>
        <v>0</v>
      </c>
      <c r="AL70" s="10">
        <f t="shared" si="109"/>
        <v>0</v>
      </c>
      <c r="AM70" s="10">
        <f t="shared" si="109"/>
        <v>0</v>
      </c>
      <c r="AN70" s="10">
        <f t="shared" si="109"/>
        <v>0</v>
      </c>
      <c r="AO70" s="10">
        <f t="shared" si="109"/>
        <v>0</v>
      </c>
      <c r="AP70" s="10">
        <f t="shared" si="105"/>
        <v>0</v>
      </c>
      <c r="AQ70" s="10">
        <f t="shared" si="105"/>
        <v>0</v>
      </c>
      <c r="AR70" s="10">
        <f t="shared" si="105"/>
        <v>0</v>
      </c>
      <c r="AS70" s="10">
        <f t="shared" si="105"/>
        <v>0</v>
      </c>
      <c r="AT70" s="10">
        <f t="shared" si="105"/>
        <v>0</v>
      </c>
      <c r="AU70" s="10">
        <f t="shared" si="105"/>
        <v>0</v>
      </c>
      <c r="AV70" s="10">
        <f t="shared" si="105"/>
        <v>0</v>
      </c>
      <c r="AW70" s="366"/>
      <c r="AX70" s="4">
        <f t="shared" si="46"/>
        <v>0</v>
      </c>
      <c r="AY70" s="10">
        <f t="shared" si="105"/>
        <v>0</v>
      </c>
      <c r="AZ70" s="10">
        <f t="shared" si="105"/>
        <v>0</v>
      </c>
      <c r="BA70" s="10">
        <f t="shared" si="105"/>
        <v>0</v>
      </c>
      <c r="BB70" s="10">
        <f t="shared" si="105"/>
        <v>0</v>
      </c>
      <c r="BC70" s="10">
        <f t="shared" si="105"/>
        <v>0</v>
      </c>
      <c r="BD70" s="10">
        <f t="shared" ref="BD70:BN70" si="110">SUM(BD68:BD69)</f>
        <v>0</v>
      </c>
      <c r="BE70" s="10">
        <f t="shared" si="110"/>
        <v>0</v>
      </c>
      <c r="BF70" s="10">
        <f t="shared" si="110"/>
        <v>0</v>
      </c>
      <c r="BG70" s="10">
        <f t="shared" si="110"/>
        <v>0</v>
      </c>
      <c r="BH70" s="10">
        <f t="shared" si="110"/>
        <v>0</v>
      </c>
      <c r="BI70" s="10">
        <f t="shared" si="110"/>
        <v>0</v>
      </c>
      <c r="BJ70" s="10">
        <f t="shared" si="110"/>
        <v>0</v>
      </c>
      <c r="BK70" s="10">
        <f t="shared" si="110"/>
        <v>0</v>
      </c>
      <c r="BL70" s="10">
        <f t="shared" si="110"/>
        <v>0</v>
      </c>
      <c r="BM70" s="10">
        <f t="shared" si="110"/>
        <v>861</v>
      </c>
      <c r="BN70" s="10" t="e">
        <f t="shared" si="110"/>
        <v>#REF!</v>
      </c>
      <c r="BO70" s="114" t="e">
        <f>BM70+BN70</f>
        <v>#REF!</v>
      </c>
      <c r="BS70" s="10" t="e">
        <f t="shared" ref="BS70" si="111">SUM(BS68:BS69)</f>
        <v>#REF!</v>
      </c>
      <c r="BT70" t="s">
        <v>147</v>
      </c>
    </row>
    <row r="71" spans="1:72">
      <c r="A71" s="6" t="s">
        <v>148</v>
      </c>
      <c r="B71" s="19"/>
      <c r="C71" s="82"/>
      <c r="D71" s="82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366"/>
      <c r="AX71" s="8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O71" s="85"/>
      <c r="BS71" s="4"/>
      <c r="BT71" t="s">
        <v>148</v>
      </c>
    </row>
    <row r="72" spans="1:72">
      <c r="A72" s="7" t="s">
        <v>149</v>
      </c>
      <c r="B72" s="285">
        <v>23351.67</v>
      </c>
      <c r="C72" s="375">
        <f>SUM(E72:AV72)</f>
        <v>23351.267088647503</v>
      </c>
      <c r="D72" s="375">
        <v>24073.56</v>
      </c>
      <c r="E72" s="8">
        <f>$B$72*'2026 Labor Alloc $$'!AX78</f>
        <v>348.63599026305889</v>
      </c>
      <c r="F72" s="8">
        <f>$B$72*'2026 Labor Alloc $$'!AY78</f>
        <v>422.90093092052041</v>
      </c>
      <c r="G72" s="8">
        <f>$B$72*'2026 Labor Alloc $$'!H78</f>
        <v>2974.7851438310286</v>
      </c>
      <c r="H72" s="8">
        <f>$B$72*'2026 Labor Alloc $$'!I78</f>
        <v>2113.2538851000418</v>
      </c>
      <c r="I72" s="8">
        <f>$B$72*'2026 Labor Alloc $$'!J78</f>
        <v>420.05882533223587</v>
      </c>
      <c r="J72" s="8">
        <f>$B$72*'2026 Labor Alloc $$'!K78</f>
        <v>528.47551875200782</v>
      </c>
      <c r="K72" s="8">
        <f>$B$72*'2026 Labor Alloc $$'!L78</f>
        <v>207.27108829351161</v>
      </c>
      <c r="L72" s="8">
        <f>$B$72*'2026 Labor Alloc $$'!M78</f>
        <v>590.79468133710736</v>
      </c>
      <c r="M72" s="8">
        <f>$B$72*'2026 Labor Alloc $$'!N78</f>
        <v>1031.2818242368946</v>
      </c>
      <c r="N72" s="8">
        <f>$B$72*'2026 Labor Alloc $$'!O78</f>
        <v>2709.8270490427076</v>
      </c>
      <c r="O72" s="8">
        <f>$B$72*'2026 Labor Alloc $$'!P78</f>
        <v>782.12833029607282</v>
      </c>
      <c r="P72" s="8">
        <f>$B$72*'2026 Labor Alloc $$'!Q78</f>
        <v>83.59168852205481</v>
      </c>
      <c r="Q72" s="8">
        <f>$B$72*'2026 Labor Alloc $$'!R78</f>
        <v>674.5481273387428</v>
      </c>
      <c r="R72" s="8">
        <f>$B$72*'2026 Labor Alloc $$'!S78</f>
        <v>1207.6870587973501</v>
      </c>
      <c r="S72" s="8">
        <f>$B$72*'2026 Labor Alloc $$'!T78</f>
        <v>452.96814254264854</v>
      </c>
      <c r="T72" s="8">
        <f>$B$72*'2026 Labor Alloc $$'!U78</f>
        <v>76.333711108293528</v>
      </c>
      <c r="U72" s="8">
        <f>$B$72*'2026 Labor Alloc $$'!V78</f>
        <v>335.87686454193624</v>
      </c>
      <c r="V72" s="8">
        <f>$B$72*'2026 Labor Alloc $$'!W78</f>
        <v>255.25454321012751</v>
      </c>
      <c r="W72" s="8">
        <f>$B$72*'2026 Labor Alloc $$'!X78</f>
        <v>293.50638097709816</v>
      </c>
      <c r="X72" s="8">
        <f>$B$72*'2026 Labor Alloc $$'!Y78</f>
        <v>694.24990144169044</v>
      </c>
      <c r="Y72" s="8">
        <f>$B$72*'2026 Labor Alloc $$'!Z78</f>
        <v>126.56282269731298</v>
      </c>
      <c r="Z72" s="8">
        <f>$B$72*'2026 Labor Alloc $$'!AA78</f>
        <v>243.1214925840747</v>
      </c>
      <c r="AA72" s="8">
        <f>$B$72*'2026 Labor Alloc $$'!AB78</f>
        <v>95.784616784913311</v>
      </c>
      <c r="AB72" s="8">
        <f>$B$72*'2026 Labor Alloc $$'!AC78</f>
        <v>1522.7839198617944</v>
      </c>
      <c r="AC72" s="8">
        <f>$B$72*'2026 Labor Alloc $$'!AD78</f>
        <v>148.43082644020831</v>
      </c>
      <c r="AD72" s="8">
        <f>$B$72*'2026 Labor Alloc $$'!AE78</f>
        <v>36.507427051792554</v>
      </c>
      <c r="AE72" s="8">
        <f>$B$72*'2026 Labor Alloc $$'!AF78</f>
        <v>43.123465317730002</v>
      </c>
      <c r="AF72" s="8">
        <f>$B$72*'2026 Labor Alloc $$'!AG78</f>
        <v>19.913142028250487</v>
      </c>
      <c r="AG72" s="8">
        <f>$B$72*'2026 Labor Alloc $$'!AH78</f>
        <v>1396.4694369812835</v>
      </c>
      <c r="AH72" s="8">
        <f>$B$72*'2026 Labor Alloc $$'!AI78</f>
        <v>745.24127557085126</v>
      </c>
      <c r="AI72" s="8">
        <f>$B$72*'2026 Labor Alloc $$'!AJ78</f>
        <v>178.42163168054006</v>
      </c>
      <c r="AJ72" s="8">
        <f>$B$72*'2026 Labor Alloc $$'!AK78</f>
        <v>0</v>
      </c>
      <c r="AK72" s="8">
        <f>$B$72*'2026 Labor Alloc $$'!AL78</f>
        <v>13.037435558814572</v>
      </c>
      <c r="AL72" s="8">
        <f>$B$72*'2026 Labor Alloc $$'!AM78</f>
        <v>18.252409782340397</v>
      </c>
      <c r="AM72" s="8">
        <f>$B$72*'2026 Labor Alloc $$'!AN78</f>
        <v>52.149742235258287</v>
      </c>
      <c r="AN72" s="8">
        <f>$B$72*'2026 Labor Alloc $$'!AO78</f>
        <v>20.859896894103315</v>
      </c>
      <c r="AO72" s="8">
        <f>$B$72*'2026 Labor Alloc $$'!AP78</f>
        <v>0</v>
      </c>
      <c r="AP72" s="8">
        <f>$B$72*'2026 Labor Alloc $$'!AQ78</f>
        <v>0</v>
      </c>
      <c r="AQ72" s="8">
        <f>$B$72*'2026 Labor Alloc $$'!AR78</f>
        <v>0</v>
      </c>
      <c r="AR72" s="8">
        <f>$B$72*'2026 Labor Alloc $$'!AS78</f>
        <v>481.71687780974224</v>
      </c>
      <c r="AS72" s="8">
        <f>$B$72*'2026 Labor Alloc $$'!AT78</f>
        <v>129.45872619664883</v>
      </c>
      <c r="AT72" s="8">
        <f>$B$72*'2026 Labor Alloc $$'!AU78</f>
        <v>1351.4410375778082</v>
      </c>
      <c r="AU72" s="8">
        <f>$B$72*'2026 Labor Alloc $$'!AV78</f>
        <v>524.56121970890422</v>
      </c>
      <c r="AV72" s="8">
        <f>$B$72*'2026 Labor Alloc $$'!AW78</f>
        <v>0</v>
      </c>
      <c r="AW72" s="364"/>
      <c r="AX72" s="8">
        <f t="shared" si="46"/>
        <v>0</v>
      </c>
      <c r="AY72" s="8">
        <f>('June 2024 YTD'!BI72*2)*1.03</f>
        <v>0</v>
      </c>
      <c r="AZ72" s="8">
        <f>('June 2024 YTD'!BJ72*2)*1.03</f>
        <v>0</v>
      </c>
      <c r="BA72" s="8">
        <f>('June 2024 YTD'!BK72*2)*1.03</f>
        <v>0</v>
      </c>
      <c r="BB72" s="8">
        <f>('June 2024 YTD'!BL72*2)*1.03</f>
        <v>0</v>
      </c>
      <c r="BC72" s="8">
        <f>('June 2024 YTD'!BM72*2)*1.03</f>
        <v>0</v>
      </c>
      <c r="BD72" s="8">
        <f>('June 2024 YTD'!BN72*2)*1.03</f>
        <v>0</v>
      </c>
      <c r="BE72" s="8">
        <f>('June 2024 YTD'!BO72*2)*1.03</f>
        <v>0</v>
      </c>
      <c r="BF72" s="8">
        <f>('June 2024 YTD'!BP72*2)*1.03</f>
        <v>0</v>
      </c>
      <c r="BG72" s="8">
        <f>('June 2024 YTD'!BQ72*2)*1.03</f>
        <v>0</v>
      </c>
      <c r="BH72" s="8">
        <f>('June 2024 YTD'!BR72*2)*1.03</f>
        <v>0</v>
      </c>
      <c r="BI72" s="8">
        <f>('June 2024 YTD'!BS72*2)*1.03</f>
        <v>0</v>
      </c>
      <c r="BJ72" s="8">
        <f>('June 2024 YTD'!BT72*2)*1.03</f>
        <v>0</v>
      </c>
      <c r="BK72" s="8">
        <f>('June 2024 YTD'!BU72*2)*1.03</f>
        <v>0</v>
      </c>
      <c r="BL72" s="8">
        <f>('June 2024 YTD'!BV72*2)*1.03</f>
        <v>0</v>
      </c>
      <c r="BM72" s="8">
        <f t="shared" ref="BM72:BM80" si="112">SUM(B72:BL72)</f>
        <v>94127.764177294986</v>
      </c>
      <c r="BN72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72" s="85" t="e">
        <f>BM72-BN72</f>
        <v>#REF!</v>
      </c>
      <c r="BP72" s="119"/>
      <c r="BS72" s="8" t="e">
        <f>SUM(B72:BL72)-#REF!-AV72-AP72-SUM(AY72:BL72)</f>
        <v>#REF!</v>
      </c>
      <c r="BT72" t="s">
        <v>149</v>
      </c>
    </row>
    <row r="73" spans="1:72" hidden="1">
      <c r="A73" s="7" t="s">
        <v>627</v>
      </c>
      <c r="B73" s="285">
        <v>0</v>
      </c>
      <c r="C73" s="375">
        <f t="shared" ref="C73:C80" si="113">SUM(E73:AV73)</f>
        <v>0</v>
      </c>
      <c r="D73" s="375"/>
      <c r="E73" s="8"/>
      <c r="F73" s="8"/>
      <c r="G73" s="8">
        <f>$B$76*'2026 Labor Alloc $$'!H79</f>
        <v>0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364"/>
      <c r="AX73" s="8">
        <f t="shared" si="46"/>
        <v>0</v>
      </c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>
        <f t="shared" si="112"/>
        <v>0</v>
      </c>
      <c r="BO73" s="85"/>
      <c r="BP73" s="252">
        <v>1.1000000000000001E-3</v>
      </c>
      <c r="BS73" s="8"/>
    </row>
    <row r="74" spans="1:72" hidden="1">
      <c r="A74" s="7" t="s">
        <v>628</v>
      </c>
      <c r="B74" s="285">
        <v>0</v>
      </c>
      <c r="C74" s="375">
        <f t="shared" si="113"/>
        <v>0</v>
      </c>
      <c r="D74" s="375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364"/>
      <c r="AX74" s="8">
        <f t="shared" si="46"/>
        <v>0</v>
      </c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>
        <f t="shared" si="112"/>
        <v>0</v>
      </c>
      <c r="BO74" s="85"/>
      <c r="BP74" s="252">
        <v>5.0000000000000001E-4</v>
      </c>
      <c r="BS74" s="8"/>
    </row>
    <row r="75" spans="1:72" hidden="1">
      <c r="A75" s="7" t="s">
        <v>629</v>
      </c>
      <c r="B75" s="285">
        <v>0</v>
      </c>
      <c r="C75" s="375">
        <f t="shared" si="113"/>
        <v>0</v>
      </c>
      <c r="D75" s="375"/>
      <c r="E75" s="8"/>
      <c r="F75" s="8"/>
      <c r="G75" s="8">
        <f>$B$76*'2026 Labor Alloc $$'!H81</f>
        <v>0</v>
      </c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364"/>
      <c r="AX75" s="8">
        <f t="shared" si="46"/>
        <v>0</v>
      </c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>
        <f t="shared" si="112"/>
        <v>0</v>
      </c>
      <c r="BO75" s="85"/>
      <c r="BP75" s="252">
        <v>2.9999999999999997E-4</v>
      </c>
      <c r="BS75" s="8"/>
    </row>
    <row r="76" spans="1:72">
      <c r="A76" s="7" t="s">
        <v>150</v>
      </c>
      <c r="B76" s="285">
        <v>5052.76</v>
      </c>
      <c r="C76" s="375">
        <f t="shared" si="113"/>
        <v>5052.6728193244662</v>
      </c>
      <c r="D76" s="375">
        <v>8158.47</v>
      </c>
      <c r="E76" s="8">
        <f>$B$76*'2026 Labor Alloc $$'!AX78</f>
        <v>75.436745473089232</v>
      </c>
      <c r="F76" s="8">
        <f>$B$76*'2026 Labor Alloc $$'!AY78</f>
        <v>91.505956863811832</v>
      </c>
      <c r="G76" s="8">
        <f>$B$76*'2026 Labor Alloc $$'!H78</f>
        <v>643.67453733902835</v>
      </c>
      <c r="H76" s="8">
        <f>$B$76*'2026 Labor Alloc $$'!I78</f>
        <v>457.25914679669967</v>
      </c>
      <c r="I76" s="8">
        <f>$B$76*'2026 Labor Alloc $$'!J78</f>
        <v>90.890991106233884</v>
      </c>
      <c r="J76" s="8">
        <f>$B$76*'2026 Labor Alloc $$'!K78</f>
        <v>114.34985001626845</v>
      </c>
      <c r="K76" s="8">
        <f>$B$76*'2026 Labor Alloc $$'!L78</f>
        <v>44.848658108217691</v>
      </c>
      <c r="L76" s="8">
        <f>$B$76*'2026 Labor Alloc $$'!M78</f>
        <v>127.83427198452543</v>
      </c>
      <c r="M76" s="8">
        <f>$B$76*'2026 Labor Alloc $$'!N78</f>
        <v>223.14547739974111</v>
      </c>
      <c r="N76" s="8">
        <f>$B$76*'2026 Labor Alloc $$'!O78</f>
        <v>586.34374844801391</v>
      </c>
      <c r="O76" s="8">
        <f>$B$76*'2026 Labor Alloc $$'!P78</f>
        <v>169.23443771630832</v>
      </c>
      <c r="P76" s="8">
        <f>$B$76*'2026 Labor Alloc $$'!Q78</f>
        <v>18.08730339614673</v>
      </c>
      <c r="Q76" s="8">
        <f>$B$76*'2026 Labor Alloc $$'!R78</f>
        <v>145.95657594904804</v>
      </c>
      <c r="R76" s="8">
        <f>$B$76*'2026 Labor Alloc $$'!S78</f>
        <v>261.3154803578887</v>
      </c>
      <c r="S76" s="8">
        <f>$B$76*'2026 Labor Alloc $$'!T78</f>
        <v>98.011804376894375</v>
      </c>
      <c r="T76" s="8">
        <f>$B$76*'2026 Labor Alloc $$'!U78</f>
        <v>16.516845353653135</v>
      </c>
      <c r="U76" s="8">
        <f>$B$76*'2026 Labor Alloc $$'!V78</f>
        <v>72.675966476184101</v>
      </c>
      <c r="V76" s="8">
        <f>$B$76*'2026 Labor Alloc $$'!W78</f>
        <v>55.231165297831119</v>
      </c>
      <c r="W76" s="8">
        <f>$B$76*'2026 Labor Alloc $$'!X78</f>
        <v>63.507976155274655</v>
      </c>
      <c r="X76" s="8">
        <f>$B$76*'2026 Labor Alloc $$'!Y78</f>
        <v>150.21958309656296</v>
      </c>
      <c r="Y76" s="8">
        <f>$B$76*'2026 Labor Alloc $$'!Z78</f>
        <v>27.385260583593176</v>
      </c>
      <c r="Z76" s="8">
        <f>$B$76*'2026 Labor Alloc $$'!AA78</f>
        <v>52.605854436496806</v>
      </c>
      <c r="AA76" s="8">
        <f>$B$76*'2026 Labor Alloc $$'!AB78</f>
        <v>20.725570389875269</v>
      </c>
      <c r="AB76" s="8">
        <f>$B$76*'2026 Labor Alloc $$'!AC78</f>
        <v>329.49513584770943</v>
      </c>
      <c r="AC76" s="8">
        <f>$B$76*'2026 Labor Alloc $$'!AD78</f>
        <v>32.116989603057384</v>
      </c>
      <c r="AD76" s="8">
        <f>$B$76*'2026 Labor Alloc $$'!AE78</f>
        <v>7.8993608213123672</v>
      </c>
      <c r="AE76" s="8">
        <f>$B$76*'2026 Labor Alloc $$'!AF78</f>
        <v>9.3309181150133362</v>
      </c>
      <c r="AF76" s="8">
        <f>$B$76*'2026 Labor Alloc $$'!AG78</f>
        <v>4.3087422661703823</v>
      </c>
      <c r="AG76" s="8">
        <f>$B$76*'2026 Labor Alloc $$'!AH78</f>
        <v>302.16361024293127</v>
      </c>
      <c r="AH76" s="8">
        <f>$B$76*'2026 Labor Alloc $$'!AI78</f>
        <v>161.25293426780075</v>
      </c>
      <c r="AI76" s="8">
        <f>$B$76*'2026 Labor Alloc $$'!AJ78</f>
        <v>38.606304546534176</v>
      </c>
      <c r="AJ76" s="8">
        <f>$B$76*'2026 Labor Alloc $$'!AK78</f>
        <v>0</v>
      </c>
      <c r="AK76" s="8">
        <f>$B$76*'2026 Labor Alloc $$'!AL78</f>
        <v>2.8209987934120311</v>
      </c>
      <c r="AL76" s="8">
        <f>$B$76*'2026 Labor Alloc $$'!AM78</f>
        <v>3.9493983107768429</v>
      </c>
      <c r="AM76" s="8">
        <f>$B$76*'2026 Labor Alloc $$'!AN78</f>
        <v>11.283995173648124</v>
      </c>
      <c r="AN76" s="8">
        <f>$B$76*'2026 Labor Alloc $$'!AO78</f>
        <v>4.513598069459249</v>
      </c>
      <c r="AO76" s="8">
        <f>$B$76*'2026 Labor Alloc $$'!AP78</f>
        <v>0</v>
      </c>
      <c r="AP76" s="8">
        <f>$B$76*'2026 Labor Alloc $$'!AQ78</f>
        <v>0</v>
      </c>
      <c r="AQ76" s="8">
        <f>$B$76*'2026 Labor Alloc $$'!AR78</f>
        <v>0</v>
      </c>
      <c r="AR76" s="8">
        <f>$B$76*'2026 Labor Alloc $$'!AS78</f>
        <v>104.23236417446604</v>
      </c>
      <c r="AS76" s="8">
        <f>$B$76*'2026 Labor Alloc $$'!AT78</f>
        <v>28.011866961865227</v>
      </c>
      <c r="AT76" s="8">
        <f>$B$76*'2026 Labor Alloc $$'!AU78</f>
        <v>292.42050855598961</v>
      </c>
      <c r="AU76" s="8">
        <f>$B$76*'2026 Labor Alloc $$'!AV78</f>
        <v>113.50288645293305</v>
      </c>
      <c r="AV76" s="8">
        <f>$B$76*'2026 Labor Alloc $$'!AW78</f>
        <v>0</v>
      </c>
      <c r="AW76" s="364"/>
      <c r="AX76" s="8">
        <f t="shared" si="46"/>
        <v>0</v>
      </c>
      <c r="AY76" s="8">
        <f>('June 2024 YTD'!BI73*2)*1.03</f>
        <v>0</v>
      </c>
      <c r="AZ76" s="8">
        <f>('June 2024 YTD'!BJ73*2)*1.03</f>
        <v>0</v>
      </c>
      <c r="BA76" s="8">
        <f>('June 2024 YTD'!BK73*2)*1.03</f>
        <v>0</v>
      </c>
      <c r="BB76" s="8">
        <f>('June 2024 YTD'!BL73*2)*1.03</f>
        <v>0</v>
      </c>
      <c r="BC76" s="8">
        <f>('June 2024 YTD'!BM73*2)*1.03</f>
        <v>0</v>
      </c>
      <c r="BD76" s="8">
        <f>('June 2024 YTD'!BN73*2)*1.03</f>
        <v>0</v>
      </c>
      <c r="BE76" s="8">
        <f>('June 2024 YTD'!BO73*2)*1.03</f>
        <v>0</v>
      </c>
      <c r="BF76" s="8">
        <f>('June 2024 YTD'!BP73*2)*1.03</f>
        <v>0</v>
      </c>
      <c r="BG76" s="8">
        <f>('June 2024 YTD'!BQ73*2)*1.03</f>
        <v>0</v>
      </c>
      <c r="BH76" s="8">
        <f>('June 2024 YTD'!BR73*2)*1.03</f>
        <v>0</v>
      </c>
      <c r="BI76" s="8">
        <f>('June 2024 YTD'!BS73*2)*1.03</f>
        <v>0</v>
      </c>
      <c r="BJ76" s="8">
        <f>('June 2024 YTD'!BT73*2)*1.03</f>
        <v>0</v>
      </c>
      <c r="BK76" s="8">
        <f>('June 2024 YTD'!BU73*2)*1.03</f>
        <v>0</v>
      </c>
      <c r="BL76" s="8">
        <f>('June 2024 YTD'!BV73*2)*1.03</f>
        <v>0</v>
      </c>
      <c r="BM76" s="8">
        <f t="shared" si="112"/>
        <v>23316.575638648934</v>
      </c>
      <c r="BN76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76" s="85" t="e">
        <f>BM76-BN76</f>
        <v>#REF!</v>
      </c>
      <c r="BP76" s="119"/>
      <c r="BS76" s="8" t="e">
        <f>SUM(B76:BL76)-#REF!-AV76-AP76-SUM(AY76:BL76)</f>
        <v>#REF!</v>
      </c>
      <c r="BT76" t="s">
        <v>150</v>
      </c>
    </row>
    <row r="77" spans="1:72">
      <c r="A77" s="7" t="s">
        <v>151</v>
      </c>
      <c r="B77" s="285">
        <v>10307.65</v>
      </c>
      <c r="C77" s="375">
        <f t="shared" si="113"/>
        <v>10307.472151083732</v>
      </c>
      <c r="D77" s="375">
        <v>10221.1</v>
      </c>
      <c r="E77" s="8">
        <f>$B$77*'2026 Labor Alloc $$'!AX78</f>
        <v>153.89125338937296</v>
      </c>
      <c r="F77" s="8">
        <f>$B$77*'2026 Labor Alloc $$'!AY78</f>
        <v>186.67250696001196</v>
      </c>
      <c r="G77" s="8">
        <f>$B$77*'2026 Labor Alloc $$'!H78</f>
        <v>1313.0985530289654</v>
      </c>
      <c r="H77" s="8">
        <f>$B$77*'2026 Labor Alloc $$'!I78</f>
        <v>932.81043320462504</v>
      </c>
      <c r="I77" s="8">
        <f>$B$77*'2026 Labor Alloc $$'!J78</f>
        <v>185.41797442905889</v>
      </c>
      <c r="J77" s="8">
        <f>$B$77*'2026 Labor Alloc $$'!K78</f>
        <v>233.27413760404005</v>
      </c>
      <c r="K77" s="8">
        <f>$B$77*'2026 Labor Alloc $$'!L78</f>
        <v>91.491436511761904</v>
      </c>
      <c r="L77" s="8">
        <f>$B$77*'2026 Labor Alloc $$'!M78</f>
        <v>260.78241072627503</v>
      </c>
      <c r="M77" s="8">
        <f>$B$77*'2026 Labor Alloc $$'!N78</f>
        <v>455.21763949196901</v>
      </c>
      <c r="N77" s="8">
        <f>$B$77*'2026 Labor Alloc $$'!O78</f>
        <v>1196.143521301263</v>
      </c>
      <c r="O77" s="8">
        <f>$B$77*'2026 Labor Alloc $$'!P78</f>
        <v>345.23890941317325</v>
      </c>
      <c r="P77" s="8">
        <f>$B$77*'2026 Labor Alloc $$'!Q78</f>
        <v>36.898169090020467</v>
      </c>
      <c r="Q77" s="8">
        <f>$B$77*'2026 Labor Alloc $$'!R78</f>
        <v>297.75198111155186</v>
      </c>
      <c r="R77" s="8">
        <f>$B$77*'2026 Labor Alloc $$'!S78</f>
        <v>533.08459359062999</v>
      </c>
      <c r="S77" s="8">
        <f>$B$77*'2026 Labor Alloc $$'!T78</f>
        <v>199.94446112332571</v>
      </c>
      <c r="T77" s="8">
        <f>$B$77*'2026 Labor Alloc $$'!U78</f>
        <v>33.694428591419879</v>
      </c>
      <c r="U77" s="8">
        <f>$B$77*'2026 Labor Alloc $$'!V78</f>
        <v>148.25925352643682</v>
      </c>
      <c r="V77" s="8">
        <f>$B$77*'2026 Labor Alloc $$'!W78</f>
        <v>112.67179145302545</v>
      </c>
      <c r="W77" s="8">
        <f>$B$77*'2026 Labor Alloc $$'!X78</f>
        <v>129.55651770852302</v>
      </c>
      <c r="X77" s="8">
        <f>$B$77*'2026 Labor Alloc $$'!Y78</f>
        <v>306.44853222897723</v>
      </c>
      <c r="Y77" s="8">
        <f>$B$77*'2026 Labor Alloc $$'!Z78</f>
        <v>55.866037819820093</v>
      </c>
      <c r="Z77" s="8">
        <f>$B$77*'2026 Labor Alloc $$'!AA78</f>
        <v>107.31614711214391</v>
      </c>
      <c r="AA77" s="8">
        <f>$B$77*'2026 Labor Alloc $$'!AB78</f>
        <v>42.280243991243957</v>
      </c>
      <c r="AB77" s="8">
        <f>$B$77*'2026 Labor Alloc $$'!AC78</f>
        <v>672.17135526338916</v>
      </c>
      <c r="AC77" s="8">
        <f>$B$77*'2026 Labor Alloc $$'!AD78</f>
        <v>65.518783374226047</v>
      </c>
      <c r="AD77" s="8">
        <f>$B$77*'2026 Labor Alloc $$'!AE78</f>
        <v>16.114726717635591</v>
      </c>
      <c r="AE77" s="8">
        <f>$B$77*'2026 Labor Alloc $$'!AF78</f>
        <v>19.035109149893763</v>
      </c>
      <c r="AF77" s="8">
        <f>$B$77*'2026 Labor Alloc $$'!AG78</f>
        <v>8.789850936892142</v>
      </c>
      <c r="AG77" s="8">
        <f>$B$77*'2026 Labor Alloc $$'!AH78</f>
        <v>616.41493700879323</v>
      </c>
      <c r="AH77" s="8">
        <f>$B$77*'2026 Labor Alloc $$'!AI78</f>
        <v>328.95661141742261</v>
      </c>
      <c r="AI77" s="8">
        <f>$B$77*'2026 Labor Alloc $$'!AJ78</f>
        <v>78.757011031413128</v>
      </c>
      <c r="AJ77" s="8">
        <f>$B$77*'2026 Labor Alloc $$'!AK78</f>
        <v>0</v>
      </c>
      <c r="AK77" s="8">
        <f>$B$77*'2026 Labor Alloc $$'!AL78</f>
        <v>5.7548484814068983</v>
      </c>
      <c r="AL77" s="8">
        <f>$B$77*'2026 Labor Alloc $$'!AM78</f>
        <v>8.0567878739696575</v>
      </c>
      <c r="AM77" s="8">
        <f>$B$77*'2026 Labor Alloc $$'!AN78</f>
        <v>23.019393925627593</v>
      </c>
      <c r="AN77" s="8">
        <f>$B$77*'2026 Labor Alloc $$'!AO78</f>
        <v>9.2077575702510366</v>
      </c>
      <c r="AO77" s="8">
        <f>$B$77*'2026 Labor Alloc $$'!AP78</f>
        <v>0</v>
      </c>
      <c r="AP77" s="8">
        <f>$B$77*'2026 Labor Alloc $$'!AQ78</f>
        <v>0</v>
      </c>
      <c r="AQ77" s="8">
        <f>$B$77*'2026 Labor Alloc $$'!AR78</f>
        <v>0</v>
      </c>
      <c r="AR77" s="8">
        <f>$B$77*'2026 Labor Alloc $$'!AS78</f>
        <v>212.63442724034684</v>
      </c>
      <c r="AS77" s="8">
        <f>$B$77*'2026 Labor Alloc $$'!AT78</f>
        <v>57.144317262143879</v>
      </c>
      <c r="AT77" s="8">
        <f>$B$77*'2026 Labor Alloc $$'!AU78</f>
        <v>596.53897177327758</v>
      </c>
      <c r="AU77" s="8">
        <f>$B$77*'2026 Labor Alloc $$'!AV78</f>
        <v>231.54632864940652</v>
      </c>
      <c r="AV77" s="8">
        <f>$B$77*'2026 Labor Alloc $$'!AW78</f>
        <v>0</v>
      </c>
      <c r="AW77" s="364"/>
      <c r="AX77" s="8">
        <f t="shared" si="46"/>
        <v>0</v>
      </c>
      <c r="AY77" s="8">
        <f>('June 2024 YTD'!BI74*2)*1.03</f>
        <v>0</v>
      </c>
      <c r="AZ77" s="8">
        <f>('June 2024 YTD'!BJ74*2)*1.03</f>
        <v>0</v>
      </c>
      <c r="BA77" s="8">
        <f>('June 2024 YTD'!BK74*2)*1.03</f>
        <v>0</v>
      </c>
      <c r="BB77" s="8">
        <f>('June 2024 YTD'!BL74*2)*1.03</f>
        <v>0</v>
      </c>
      <c r="BC77" s="8">
        <f>('June 2024 YTD'!BM74*2)*1.03</f>
        <v>0</v>
      </c>
      <c r="BD77" s="8">
        <f>('June 2024 YTD'!BN74*2)*1.03</f>
        <v>0</v>
      </c>
      <c r="BE77" s="8">
        <f>('June 2024 YTD'!BO74*2)*1.03</f>
        <v>0</v>
      </c>
      <c r="BF77" s="8">
        <f>('June 2024 YTD'!BP74*2)*1.03</f>
        <v>0</v>
      </c>
      <c r="BG77" s="8">
        <f>('June 2024 YTD'!BQ74*2)*1.03</f>
        <v>0</v>
      </c>
      <c r="BH77" s="8">
        <f>('June 2024 YTD'!BR74*2)*1.03</f>
        <v>0</v>
      </c>
      <c r="BI77" s="8">
        <f>('June 2024 YTD'!BS74*2)*1.03</f>
        <v>0</v>
      </c>
      <c r="BJ77" s="8">
        <f>('June 2024 YTD'!BT74*2)*1.03</f>
        <v>0</v>
      </c>
      <c r="BK77" s="8">
        <f>('June 2024 YTD'!BU74*2)*1.03</f>
        <v>0</v>
      </c>
      <c r="BL77" s="8">
        <f>('June 2024 YTD'!BV74*2)*1.03</f>
        <v>0</v>
      </c>
      <c r="BM77" s="8">
        <f t="shared" si="112"/>
        <v>41143.694302167438</v>
      </c>
      <c r="BN77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77" s="85" t="e">
        <f>BM77-BN77</f>
        <v>#REF!</v>
      </c>
      <c r="BP77" s="119"/>
      <c r="BS77" s="8" t="e">
        <f>SUM(B77:BL77)-#REF!-AV77-AP77-SUM(AY77:BL77)</f>
        <v>#REF!</v>
      </c>
      <c r="BT77" t="s">
        <v>151</v>
      </c>
    </row>
    <row r="78" spans="1:72">
      <c r="A78" s="387" t="s">
        <v>152</v>
      </c>
      <c r="B78" s="361">
        <v>2545.89</v>
      </c>
      <c r="C78" s="375">
        <f t="shared" si="113"/>
        <v>2545.846073035324</v>
      </c>
      <c r="D78" s="375">
        <v>1925.83</v>
      </c>
      <c r="E78" s="83">
        <f>$B$78*'2026 Labor Alloc $$'!AX78</f>
        <v>38.009653324615286</v>
      </c>
      <c r="F78" s="83">
        <f>$B$78*'2026 Labor Alloc $$'!AY78</f>
        <v>46.106306359298657</v>
      </c>
      <c r="G78" s="83">
        <f>$B$78*'2026 Labor Alloc $$'!H78</f>
        <v>324.3226608558607</v>
      </c>
      <c r="H78" s="83">
        <f>$B$78*'2026 Labor Alloc $$'!I78</f>
        <v>230.39516803454936</v>
      </c>
      <c r="I78" s="83">
        <f>$B$78*'2026 Labor Alloc $$'!J78</f>
        <v>45.796448940272199</v>
      </c>
      <c r="J78" s="83">
        <f>$B$78*'2026 Labor Alloc $$'!K78</f>
        <v>57.616459055628539</v>
      </c>
      <c r="K78" s="83">
        <f>$B$78*'2026 Labor Alloc $$'!L78</f>
        <v>22.597501205505573</v>
      </c>
      <c r="L78" s="83">
        <f>$B$78*'2026 Labor Alloc $$'!M78</f>
        <v>64.410736845344601</v>
      </c>
      <c r="M78" s="83">
        <f>$B$78*'2026 Labor Alloc $$'!N78</f>
        <v>112.43436051924628</v>
      </c>
      <c r="N78" s="83">
        <f>$B$78*'2026 Labor Alloc $$'!O78</f>
        <v>295.43589755624924</v>
      </c>
      <c r="O78" s="83">
        <f>$B$78*'2026 Labor Alloc $$'!P78</f>
        <v>85.270676350662242</v>
      </c>
      <c r="P78" s="83">
        <f>$B$78*'2026 Labor Alloc $$'!Q78</f>
        <v>9.1134914073132283</v>
      </c>
      <c r="Q78" s="83">
        <f>$B$78*'2026 Labor Alloc $$'!R78</f>
        <v>73.541863683001338</v>
      </c>
      <c r="R78" s="83">
        <f>$B$78*'2026 Labor Alloc $$'!S78</f>
        <v>131.66674615227029</v>
      </c>
      <c r="S78" s="83">
        <f>$B$78*'2026 Labor Alloc $$'!T78</f>
        <v>49.384350858756719</v>
      </c>
      <c r="T78" s="83">
        <f>$B$78*'2026 Labor Alloc $$'!U78</f>
        <v>8.3221984454856308</v>
      </c>
      <c r="U78" s="83">
        <f>$B$78*'2026 Labor Alloc $$'!V78</f>
        <v>36.618603751623333</v>
      </c>
      <c r="V78" s="83">
        <f>$B$78*'2026 Labor Alloc $$'!W78</f>
        <v>27.828844318767416</v>
      </c>
      <c r="W78" s="83">
        <f>$B$78*'2026 Labor Alloc $$'!X78</f>
        <v>31.999208633291939</v>
      </c>
      <c r="X78" s="83">
        <f>$B$78*'2026 Labor Alloc $$'!Y78</f>
        <v>75.689827818797781</v>
      </c>
      <c r="Y78" s="83">
        <f>$B$78*'2026 Labor Alloc $$'!Z78</f>
        <v>13.798371794259776</v>
      </c>
      <c r="Z78" s="83">
        <f>$B$78*'2026 Labor Alloc $$'!AA78</f>
        <v>26.506051890715739</v>
      </c>
      <c r="AA78" s="83">
        <f>$B$78*'2026 Labor Alloc $$'!AB78</f>
        <v>10.442811928506311</v>
      </c>
      <c r="AB78" s="83">
        <f>$B$78*'2026 Labor Alloc $$'!AC78</f>
        <v>166.01983300281924</v>
      </c>
      <c r="AC78" s="83">
        <f>$B$78*'2026 Labor Alloc $$'!AD78</f>
        <v>16.182506721183621</v>
      </c>
      <c r="AD78" s="83">
        <f>$B$78*'2026 Labor Alloc $$'!AE78</f>
        <v>3.9801818652322574</v>
      </c>
      <c r="AE78" s="83">
        <f>$B$78*'2026 Labor Alloc $$'!AF78</f>
        <v>4.7014881213101951</v>
      </c>
      <c r="AF78" s="83">
        <f>$B$78*'2026 Labor Alloc $$'!AG78</f>
        <v>2.1710082901266858</v>
      </c>
      <c r="AG78" s="83">
        <f>$B$78*'2026 Labor Alloc $$'!AH78</f>
        <v>152.24853618247772</v>
      </c>
      <c r="AH78" s="83">
        <f>$B$78*'2026 Labor Alloc $$'!AI78</f>
        <v>81.249105998118097</v>
      </c>
      <c r="AI78" s="83">
        <f>$B$78*'2026 Labor Alloc $$'!AJ78</f>
        <v>19.452221099354787</v>
      </c>
      <c r="AJ78" s="83">
        <f>$B$78*'2026 Labor Alloc $$'!AK78</f>
        <v>0</v>
      </c>
      <c r="AK78" s="83">
        <f>$B$78*'2026 Labor Alloc $$'!AL78</f>
        <v>1.4213919952975711</v>
      </c>
      <c r="AL78" s="83">
        <f>$B$78*'2026 Labor Alloc $$'!AM78</f>
        <v>1.9899487934165994</v>
      </c>
      <c r="AM78" s="83">
        <f>$B$78*'2026 Labor Alloc $$'!AN78</f>
        <v>5.6855679811902844</v>
      </c>
      <c r="AN78" s="83">
        <f>$B$78*'2026 Labor Alloc $$'!AO78</f>
        <v>2.2742271924761135</v>
      </c>
      <c r="AO78" s="83">
        <f>$B$78*'2026 Labor Alloc $$'!AP78</f>
        <v>0</v>
      </c>
      <c r="AP78" s="83">
        <f>$B$78*'2026 Labor Alloc $$'!AQ78</f>
        <v>0</v>
      </c>
      <c r="AQ78" s="83">
        <f>$B$78*'2026 Labor Alloc $$'!AR78</f>
        <v>0</v>
      </c>
      <c r="AR78" s="83">
        <f>$B$78*'2026 Labor Alloc $$'!AS78</f>
        <v>52.518649931548566</v>
      </c>
      <c r="AS78" s="83">
        <f>$B$78*'2026 Labor Alloc $$'!AT78</f>
        <v>14.114094471050091</v>
      </c>
      <c r="AT78" s="83">
        <f>$B$78*'2026 Labor Alloc $$'!AU78</f>
        <v>147.3393647289023</v>
      </c>
      <c r="AU78" s="83">
        <f>$B$78*'2026 Labor Alloc $$'!AV78</f>
        <v>57.189706930797762</v>
      </c>
      <c r="AV78" s="83">
        <f>$B$78*'2026 Labor Alloc $$'!AW78</f>
        <v>0</v>
      </c>
      <c r="AW78" s="370"/>
      <c r="AX78" s="8">
        <f t="shared" si="46"/>
        <v>0</v>
      </c>
      <c r="AY78">
        <f>('June 2024 YTD'!BI75*2)*1.03</f>
        <v>0</v>
      </c>
      <c r="AZ78">
        <f>('June 2024 YTD'!BJ75*2)*1.03</f>
        <v>0</v>
      </c>
      <c r="BA78">
        <f>('June 2024 YTD'!BK75*2)*1.03</f>
        <v>0</v>
      </c>
      <c r="BB78">
        <f>('June 2024 YTD'!BL75*2)*1.03</f>
        <v>0</v>
      </c>
      <c r="BC78">
        <f>('June 2024 YTD'!BM75*2)*1.03</f>
        <v>0</v>
      </c>
      <c r="BD78">
        <f>('June 2024 YTD'!BN75*2)*1.03</f>
        <v>0</v>
      </c>
      <c r="BE78">
        <f>('June 2024 YTD'!BO75*2)*1.03</f>
        <v>0</v>
      </c>
      <c r="BF78">
        <f>('June 2024 YTD'!BP75*2)*1.03</f>
        <v>0</v>
      </c>
      <c r="BG78">
        <f>('June 2024 YTD'!BQ75*2)*1.03</f>
        <v>0</v>
      </c>
      <c r="BH78">
        <f>('June 2024 YTD'!BR75*2)*1.03</f>
        <v>0</v>
      </c>
      <c r="BI78">
        <f>('June 2024 YTD'!BS75*2)*1.03</f>
        <v>0</v>
      </c>
      <c r="BJ78">
        <f>('June 2024 YTD'!BT75*2)*1.03</f>
        <v>0</v>
      </c>
      <c r="BK78">
        <f>('June 2024 YTD'!BU75*2)*1.03</f>
        <v>0</v>
      </c>
      <c r="BL78">
        <f>('June 2024 YTD'!BV75*2)*1.03</f>
        <v>0</v>
      </c>
      <c r="BM78">
        <f t="shared" si="112"/>
        <v>9563.4121460706483</v>
      </c>
      <c r="BN78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78" t="e">
        <f>BM78-BN78</f>
        <v>#REF!</v>
      </c>
      <c r="BS78" t="e">
        <f>SUM(B78:BL78)-#REF!-AV78-AP78-SUM(AY78:BL78)</f>
        <v>#REF!</v>
      </c>
      <c r="BT78" t="s">
        <v>152</v>
      </c>
    </row>
    <row r="79" spans="1:72">
      <c r="A79" s="7" t="s">
        <v>153</v>
      </c>
      <c r="B79" s="285">
        <v>5534.75</v>
      </c>
      <c r="C79" s="375">
        <f t="shared" si="113"/>
        <v>5534.6545030351908</v>
      </c>
      <c r="D79" s="375">
        <v>7027.71</v>
      </c>
      <c r="E79" s="8">
        <f>$B$79*'2026 Labor Alloc $$'!AX78</f>
        <v>82.632764470740867</v>
      </c>
      <c r="F79" s="8">
        <f>$B$79*'2026 Labor Alloc $$'!AY78</f>
        <v>100.23484090912343</v>
      </c>
      <c r="G79" s="8">
        <f>$B$79*'2026 Labor Alloc $$'!H78</f>
        <v>705.07557167512152</v>
      </c>
      <c r="H79" s="8">
        <f>$B$79*'2026 Labor Alloc $$'!I78</f>
        <v>500.87775052308706</v>
      </c>
      <c r="I79" s="8">
        <f>$B$79*'2026 Labor Alloc $$'!J78</f>
        <v>99.561212688753855</v>
      </c>
      <c r="J79" s="8">
        <f>$B$79*'2026 Labor Alloc $$'!K78</f>
        <v>125.25784568781059</v>
      </c>
      <c r="K79" s="8">
        <f>$B$79*'2026 Labor Alloc $$'!L78</f>
        <v>49.126835722349341</v>
      </c>
      <c r="L79" s="8">
        <f>$B$79*'2026 Labor Alloc $$'!M78</f>
        <v>140.02856594541439</v>
      </c>
      <c r="M79" s="8">
        <f>$B$79*'2026 Labor Alloc $$'!N78</f>
        <v>244.43164350537469</v>
      </c>
      <c r="N79" s="8">
        <f>$B$79*'2026 Labor Alloc $$'!O78</f>
        <v>642.27591686971959</v>
      </c>
      <c r="O79" s="8">
        <f>$B$79*'2026 Labor Alloc $$'!P78</f>
        <v>185.37795267345714</v>
      </c>
      <c r="P79" s="8">
        <f>$B$79*'2026 Labor Alloc $$'!Q78</f>
        <v>19.812677125338055</v>
      </c>
      <c r="Q79" s="8">
        <f>$B$79*'2026 Labor Alloc $$'!R78</f>
        <v>159.87958239338371</v>
      </c>
      <c r="R79" s="8">
        <f>$B$79*'2026 Labor Alloc $$'!S78</f>
        <v>286.24273761485296</v>
      </c>
      <c r="S79" s="8">
        <f>$B$79*'2026 Labor Alloc $$'!T78</f>
        <v>107.36129051746295</v>
      </c>
      <c r="T79" s="8">
        <f>$B$79*'2026 Labor Alloc $$'!U78</f>
        <v>18.092410844990003</v>
      </c>
      <c r="U79" s="8">
        <f>$B$79*'2026 Labor Alloc $$'!V78</f>
        <v>79.60863081841606</v>
      </c>
      <c r="V79" s="8">
        <f>$B$79*'2026 Labor Alloc $$'!W78</f>
        <v>60.499745115970434</v>
      </c>
      <c r="W79" s="8">
        <f>$B$79*'2026 Labor Alloc $$'!X78</f>
        <v>69.566092793919836</v>
      </c>
      <c r="X79" s="8">
        <f>$B$79*'2026 Labor Alloc $$'!Y78</f>
        <v>164.5492438872422</v>
      </c>
      <c r="Y79" s="8">
        <f>$B$79*'2026 Labor Alloc $$'!Z78</f>
        <v>29.997579741575361</v>
      </c>
      <c r="Z79" s="8">
        <f>$B$79*'2026 Labor Alloc $$'!AA78</f>
        <v>57.624002098338472</v>
      </c>
      <c r="AA79" s="8">
        <f>$B$79*'2026 Labor Alloc $$'!AB78</f>
        <v>22.702612179355864</v>
      </c>
      <c r="AB79" s="8">
        <f>$B$79*'2026 Labor Alloc $$'!AC78</f>
        <v>360.92614791383517</v>
      </c>
      <c r="AC79" s="8">
        <f>$B$79*'2026 Labor Alloc $$'!AD78</f>
        <v>35.18067515684929</v>
      </c>
      <c r="AD79" s="8">
        <f>$B$79*'2026 Labor Alloc $$'!AE78</f>
        <v>8.6528921432560857</v>
      </c>
      <c r="AE79" s="8">
        <f>$B$79*'2026 Labor Alloc $$'!AF78</f>
        <v>10.221007733806882</v>
      </c>
      <c r="AF79" s="8">
        <f>$B$79*'2026 Labor Alloc $$'!AG78</f>
        <v>4.7197593508669566</v>
      </c>
      <c r="AG79" s="8">
        <f>$B$79*'2026 Labor Alloc $$'!AH78</f>
        <v>330.98742900752529</v>
      </c>
      <c r="AH79" s="8">
        <f>$B$79*'2026 Labor Alloc $$'!AI78</f>
        <v>176.6350822003638</v>
      </c>
      <c r="AI79" s="8">
        <f>$B$79*'2026 Labor Alloc $$'!AJ78</f>
        <v>42.289015130132846</v>
      </c>
      <c r="AJ79" s="8">
        <f>$B$79*'2026 Labor Alloc $$'!AK78</f>
        <v>0</v>
      </c>
      <c r="AK79" s="8">
        <f>$B$79*'2026 Labor Alloc $$'!AL78</f>
        <v>3.0900979013127952</v>
      </c>
      <c r="AL79" s="8">
        <f>$B$79*'2026 Labor Alloc $$'!AM78</f>
        <v>4.3261370618379127</v>
      </c>
      <c r="AM79" s="8">
        <f>$B$79*'2026 Labor Alloc $$'!AN78</f>
        <v>12.360391605251181</v>
      </c>
      <c r="AN79" s="8">
        <f>$B$79*'2026 Labor Alloc $$'!AO78</f>
        <v>4.9441566421004719</v>
      </c>
      <c r="AO79" s="8">
        <f>$B$79*'2026 Labor Alloc $$'!AP78</f>
        <v>0</v>
      </c>
      <c r="AP79" s="8">
        <f>$B$79*'2026 Labor Alloc $$'!AQ78</f>
        <v>0</v>
      </c>
      <c r="AQ79" s="8">
        <f>$B$79*'2026 Labor Alloc $$'!AR78</f>
        <v>0</v>
      </c>
      <c r="AR79" s="8">
        <f>$B$79*'2026 Labor Alloc $$'!AS78</f>
        <v>114.17523840725187</v>
      </c>
      <c r="AS79" s="8">
        <f>$B$79*'2026 Labor Alloc $$'!AT78</f>
        <v>30.68395899808888</v>
      </c>
      <c r="AT79" s="8">
        <f>$B$79*'2026 Labor Alloc $$'!AU78</f>
        <v>320.31491892159204</v>
      </c>
      <c r="AU79" s="8">
        <f>$B$79*'2026 Labor Alloc $$'!AV78</f>
        <v>124.33008905932029</v>
      </c>
      <c r="AV79" s="8">
        <f>$B$79*'2026 Labor Alloc $$'!AW78</f>
        <v>0</v>
      </c>
      <c r="AW79" s="364"/>
      <c r="AX79" s="8">
        <f t="shared" si="46"/>
        <v>0</v>
      </c>
      <c r="AY79" s="8">
        <f>('June 2024 YTD'!BI76*2)*1.03</f>
        <v>0</v>
      </c>
      <c r="AZ79" s="8">
        <f>('June 2024 YTD'!BJ76*2)*1.03</f>
        <v>0</v>
      </c>
      <c r="BA79" s="8">
        <f>('June 2024 YTD'!BK76*2)*1.03</f>
        <v>0</v>
      </c>
      <c r="BB79" s="8">
        <f>('June 2024 YTD'!BL76*2)*1.03</f>
        <v>0</v>
      </c>
      <c r="BC79" s="8">
        <f>('June 2024 YTD'!BM76*2)*1.03</f>
        <v>0</v>
      </c>
      <c r="BD79" s="8">
        <f>('June 2024 YTD'!BN76*2)*1.03</f>
        <v>0</v>
      </c>
      <c r="BE79" s="8">
        <f>('June 2024 YTD'!BO76*2)*1.03</f>
        <v>0</v>
      </c>
      <c r="BF79" s="8">
        <f>('June 2024 YTD'!BP76*2)*1.03</f>
        <v>0</v>
      </c>
      <c r="BG79" s="8">
        <f>('June 2024 YTD'!BQ76*2)*1.03</f>
        <v>0</v>
      </c>
      <c r="BH79" s="8">
        <f>('June 2024 YTD'!BR76*2)*1.03</f>
        <v>0</v>
      </c>
      <c r="BI79" s="8">
        <f>('June 2024 YTD'!BS76*2)*1.03</f>
        <v>0</v>
      </c>
      <c r="BJ79" s="8">
        <f>('June 2024 YTD'!BT76*2)*1.03</f>
        <v>0</v>
      </c>
      <c r="BK79" s="8">
        <f>('June 2024 YTD'!BU76*2)*1.03</f>
        <v>0</v>
      </c>
      <c r="BL79" s="8">
        <f>('June 2024 YTD'!BV76*2)*1.03</f>
        <v>0</v>
      </c>
      <c r="BM79" s="8">
        <f t="shared" si="112"/>
        <v>23631.769006070383</v>
      </c>
      <c r="BN79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79" s="85" t="e">
        <f>BM79-BN79</f>
        <v>#REF!</v>
      </c>
      <c r="BP79" s="119"/>
      <c r="BS79" s="8" t="e">
        <f>SUM(B79:BL79)-#REF!-AV79-AP79-SUM(AY79:BL79)</f>
        <v>#REF!</v>
      </c>
      <c r="BT79" t="s">
        <v>153</v>
      </c>
    </row>
    <row r="80" spans="1:72">
      <c r="A80" s="7" t="s">
        <v>630</v>
      </c>
      <c r="B80" s="285">
        <v>10000</v>
      </c>
      <c r="C80" s="375">
        <f t="shared" si="113"/>
        <v>10000</v>
      </c>
      <c r="D80" s="375">
        <v>0</v>
      </c>
      <c r="E80" s="8">
        <v>10000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  <c r="AG80" s="8">
        <v>0</v>
      </c>
      <c r="AH80" s="8">
        <v>0</v>
      </c>
      <c r="AI80" s="8">
        <v>0</v>
      </c>
      <c r="AJ80" s="8">
        <v>0</v>
      </c>
      <c r="AK80" s="8">
        <v>0</v>
      </c>
      <c r="AL80" s="8">
        <v>0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0</v>
      </c>
      <c r="AU80" s="8">
        <v>0</v>
      </c>
      <c r="AV80" s="8">
        <v>0</v>
      </c>
      <c r="AW80" s="364"/>
      <c r="AX80" s="8">
        <f t="shared" si="46"/>
        <v>0</v>
      </c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>
        <f t="shared" si="112"/>
        <v>30000</v>
      </c>
      <c r="BO80" s="85"/>
      <c r="BP80" s="119"/>
      <c r="BS80" s="8"/>
    </row>
    <row r="81" spans="1:74">
      <c r="A81" s="9" t="s">
        <v>154</v>
      </c>
      <c r="B81" s="351">
        <f t="shared" ref="B81:G81" si="114">SUM(B72:B80)</f>
        <v>56792.72</v>
      </c>
      <c r="C81" s="82">
        <f t="shared" si="114"/>
        <v>56791.912635126217</v>
      </c>
      <c r="D81" s="363">
        <f t="shared" si="114"/>
        <v>51406.670000000006</v>
      </c>
      <c r="E81" s="10">
        <f t="shared" si="114"/>
        <v>10698.606406920877</v>
      </c>
      <c r="F81" s="10">
        <f t="shared" si="114"/>
        <v>847.4205420127663</v>
      </c>
      <c r="G81" s="10">
        <f t="shared" si="114"/>
        <v>5960.9564667300046</v>
      </c>
      <c r="H81" s="10">
        <f t="shared" ref="H81:K81" si="115">SUM(H72:H80)</f>
        <v>4234.5963836590026</v>
      </c>
      <c r="I81" s="10">
        <f t="shared" si="115"/>
        <v>841.72545249655457</v>
      </c>
      <c r="J81" s="10">
        <f t="shared" si="115"/>
        <v>1058.9738111157553</v>
      </c>
      <c r="K81" s="10">
        <f t="shared" si="115"/>
        <v>415.33551984134613</v>
      </c>
      <c r="L81" s="10">
        <f t="shared" ref="L81" si="116">SUM(L72:L80)</f>
        <v>1183.8506668386669</v>
      </c>
      <c r="M81" s="10">
        <f t="shared" ref="M81" si="117">SUM(M72:M80)</f>
        <v>2066.5109451532257</v>
      </c>
      <c r="N81" s="10">
        <f t="shared" ref="N81" si="118">SUM(N72:N80)</f>
        <v>5430.0261332179525</v>
      </c>
      <c r="O81" s="10">
        <f t="shared" ref="O81" si="119">SUM(O72:O80)</f>
        <v>1567.2503064496739</v>
      </c>
      <c r="P81" s="10">
        <f t="shared" ref="P81" si="120">SUM(P72:P80)</f>
        <v>167.50332954087332</v>
      </c>
      <c r="Q81" s="10">
        <f t="shared" ref="Q81" si="121">SUM(Q72:Q80)</f>
        <v>1351.6781304757278</v>
      </c>
      <c r="R81" s="10">
        <f t="shared" ref="R81" si="122">SUM(R72:R80)</f>
        <v>2419.9966165129922</v>
      </c>
      <c r="S81" s="10">
        <f t="shared" ref="S81" si="123">SUM(S72:S80)</f>
        <v>907.6700494190884</v>
      </c>
      <c r="T81" s="10">
        <f t="shared" ref="T81" si="124">SUM(T72:T80)</f>
        <v>152.95959434384218</v>
      </c>
      <c r="U81" s="10">
        <f t="shared" ref="U81" si="125">SUM(U72:U80)</f>
        <v>673.03931911459654</v>
      </c>
      <c r="V81" s="10">
        <f t="shared" ref="V81" si="126">SUM(V72:V80)</f>
        <v>511.48608939572193</v>
      </c>
      <c r="W81" s="10">
        <f t="shared" ref="W81" si="127">SUM(W72:W80)</f>
        <v>588.13617626810765</v>
      </c>
      <c r="X81" s="10">
        <f t="shared" ref="X81" si="128">SUM(X72:X80)</f>
        <v>1391.1570884732707</v>
      </c>
      <c r="Y81" s="10">
        <f t="shared" ref="Y81" si="129">SUM(Y72:Y80)</f>
        <v>253.61007263656137</v>
      </c>
      <c r="Z81" s="10">
        <f t="shared" ref="Z81" si="130">SUM(Z72:Z80)</f>
        <v>487.17354812176961</v>
      </c>
      <c r="AA81" s="10">
        <f t="shared" ref="AA81" si="131">SUM(AA72:AA80)</f>
        <v>191.9358552738947</v>
      </c>
      <c r="AB81" s="10">
        <f t="shared" ref="AB81" si="132">SUM(AB72:AB80)</f>
        <v>3051.3963918895479</v>
      </c>
      <c r="AC81" s="10">
        <f t="shared" ref="AC81" si="133">SUM(AC72:AC80)</f>
        <v>297.42978129552466</v>
      </c>
      <c r="AD81" s="10">
        <f t="shared" ref="AD81" si="134">SUM(AD72:AD80)</f>
        <v>73.154588599228845</v>
      </c>
      <c r="AE81" s="10">
        <f t="shared" ref="AE81" si="135">SUM(AE72:AE80)</f>
        <v>86.411988437754175</v>
      </c>
      <c r="AF81" s="10">
        <f t="shared" ref="AF81:AH81" si="136">SUM(AF72:AF80)</f>
        <v>39.902502872306655</v>
      </c>
      <c r="AG81" s="10">
        <f t="shared" si="136"/>
        <v>2798.2839494230111</v>
      </c>
      <c r="AH81" s="10">
        <f t="shared" si="136"/>
        <v>1493.3350094545565</v>
      </c>
      <c r="AI81" s="10">
        <f t="shared" ref="AI81:AO81" si="137">SUM(AI72:AI80)</f>
        <v>357.526183487975</v>
      </c>
      <c r="AJ81" s="10">
        <f t="shared" si="137"/>
        <v>0</v>
      </c>
      <c r="AK81" s="10">
        <f t="shared" si="137"/>
        <v>26.124772730243869</v>
      </c>
      <c r="AL81" s="10">
        <f t="shared" si="137"/>
        <v>36.574681822341411</v>
      </c>
      <c r="AM81" s="10">
        <f t="shared" si="137"/>
        <v>104.49909092097548</v>
      </c>
      <c r="AN81" s="10">
        <f t="shared" si="137"/>
        <v>41.799636368390182</v>
      </c>
      <c r="AO81" s="10">
        <f t="shared" si="137"/>
        <v>0</v>
      </c>
      <c r="AP81" s="10">
        <f t="shared" ref="AP81" si="138">SUM(AP72:AP80)</f>
        <v>0</v>
      </c>
      <c r="AQ81" s="10">
        <f t="shared" ref="AQ81" si="139">SUM(AQ72:AQ80)</f>
        <v>0</v>
      </c>
      <c r="AR81" s="10">
        <f t="shared" ref="AR81" si="140">SUM(AR72:AR80)</f>
        <v>965.27755756335546</v>
      </c>
      <c r="AS81" s="10">
        <f t="shared" ref="AS81" si="141">SUM(AS72:AS80)</f>
        <v>259.41296388979691</v>
      </c>
      <c r="AT81" s="10">
        <f t="shared" ref="AT81" si="142">SUM(AT72:AT80)</f>
        <v>2708.0548015575696</v>
      </c>
      <c r="AU81" s="10">
        <f t="shared" ref="AU81" si="143">SUM(AU72:AU80)</f>
        <v>1051.1302308013619</v>
      </c>
      <c r="AV81" s="10">
        <f t="shared" ref="AV81" si="144">SUM(AV72:AV80)</f>
        <v>0</v>
      </c>
      <c r="AW81" s="366"/>
      <c r="AX81" s="4">
        <f t="shared" si="46"/>
        <v>0</v>
      </c>
      <c r="AY81" s="10">
        <f>SUM(AY72:AY79)</f>
        <v>0</v>
      </c>
      <c r="AZ81" s="10">
        <f>SUM(AZ72:AZ79)</f>
        <v>0</v>
      </c>
      <c r="BA81" s="10">
        <f>SUM(BA72:BA79)</f>
        <v>0</v>
      </c>
      <c r="BB81" s="10">
        <f>SUM(BB72:BB79)</f>
        <v>0</v>
      </c>
      <c r="BC81" s="10">
        <f>SUM(BC72:BC79)</f>
        <v>0</v>
      </c>
      <c r="BD81" s="10">
        <f t="shared" ref="BD81:BN81" si="145">SUM(BD72:BD79)</f>
        <v>0</v>
      </c>
      <c r="BE81" s="10">
        <f t="shared" si="145"/>
        <v>0</v>
      </c>
      <c r="BF81" s="10">
        <f t="shared" si="145"/>
        <v>0</v>
      </c>
      <c r="BG81" s="10">
        <f t="shared" si="145"/>
        <v>0</v>
      </c>
      <c r="BH81" s="10">
        <f t="shared" si="145"/>
        <v>0</v>
      </c>
      <c r="BI81" s="10">
        <f t="shared" si="145"/>
        <v>0</v>
      </c>
      <c r="BJ81" s="10">
        <f t="shared" si="145"/>
        <v>0</v>
      </c>
      <c r="BK81" s="10">
        <f t="shared" si="145"/>
        <v>0</v>
      </c>
      <c r="BL81" s="10">
        <f t="shared" si="145"/>
        <v>0</v>
      </c>
      <c r="BM81" s="10">
        <f>SUM(BM72:BM80)</f>
        <v>221783.2152702524</v>
      </c>
      <c r="BN81" s="10" t="e">
        <f t="shared" si="145"/>
        <v>#REF!</v>
      </c>
      <c r="BO81" s="114" t="e">
        <f>BM81-BN81</f>
        <v>#REF!</v>
      </c>
      <c r="BS81" s="10" t="e">
        <f t="shared" ref="BS81" si="146">SUM(BS72:BS79)</f>
        <v>#REF!</v>
      </c>
      <c r="BT81" t="s">
        <v>154</v>
      </c>
    </row>
    <row r="82" spans="1:74">
      <c r="A82" s="6" t="s">
        <v>155</v>
      </c>
      <c r="C82" s="236"/>
      <c r="D82" s="236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366"/>
      <c r="AX82" s="8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O82" s="85"/>
      <c r="BS82" s="4"/>
      <c r="BT82" t="s">
        <v>155</v>
      </c>
    </row>
    <row r="83" spans="1:74">
      <c r="A83" s="7" t="s">
        <v>157</v>
      </c>
      <c r="B83" s="285">
        <v>37191.75</v>
      </c>
      <c r="C83" s="375">
        <f>SUM(E83:AV83)</f>
        <v>37375.828433333336</v>
      </c>
      <c r="D83" s="375">
        <f>23211.61+80.05</f>
        <v>23291.66</v>
      </c>
      <c r="E83" s="8">
        <f>6500-241.31+263.01</f>
        <v>6521.7</v>
      </c>
      <c r="F83" s="8">
        <v>2500</v>
      </c>
      <c r="G83" s="8">
        <f>'June 2025 YTD'!C81*2</f>
        <v>1973.08</v>
      </c>
      <c r="H83" s="8">
        <f>'June 2025 YTD'!D81*2</f>
        <v>0</v>
      </c>
      <c r="I83" s="8">
        <f>600+79.17</f>
        <v>679.17</v>
      </c>
      <c r="J83" s="8">
        <f>'June 2025 YTD'!F81*2</f>
        <v>0</v>
      </c>
      <c r="K83" s="8">
        <v>2100</v>
      </c>
      <c r="L83" s="8">
        <f>'June 2025 YTD'!H81*2</f>
        <v>0</v>
      </c>
      <c r="M83" s="8">
        <v>1950</v>
      </c>
      <c r="N83" s="8">
        <f>'June 2025 YTD'!J81*2</f>
        <v>246.04</v>
      </c>
      <c r="O83" s="8">
        <f>'June 2025 YTD'!K81*2</f>
        <v>60.52</v>
      </c>
      <c r="P83" s="8">
        <f>'June 2025 YTD'!L81*2</f>
        <v>0</v>
      </c>
      <c r="Q83" s="8">
        <f>'June 2025 YTD'!M81*2</f>
        <v>0</v>
      </c>
      <c r="R83" s="8">
        <f>611.37/9*12+150</f>
        <v>965.16000000000008</v>
      </c>
      <c r="S83" s="8">
        <f>36.42/9*12+15</f>
        <v>63.56</v>
      </c>
      <c r="T83" s="8">
        <f>'June 2025 YTD'!P81*2</f>
        <v>0</v>
      </c>
      <c r="U83" s="8">
        <f>38.8/9*12+10-4.08</f>
        <v>57.653333333333336</v>
      </c>
      <c r="V83" s="8">
        <f>'June 2025 YTD'!R81*2</f>
        <v>0</v>
      </c>
      <c r="W83" s="8">
        <f>'June 2025 YTD'!S81*2</f>
        <v>0</v>
      </c>
      <c r="X83" s="8">
        <f>'June 2025 YTD'!T81*2</f>
        <v>0</v>
      </c>
      <c r="Y83" s="8">
        <f>'June 2025 YTD'!U81*2</f>
        <v>0</v>
      </c>
      <c r="Z83" s="8">
        <f>'June 2025 YTD'!V81*2</f>
        <v>0</v>
      </c>
      <c r="AA83" s="8">
        <f>'June 2025 YTD'!W81*1.05-1.16</f>
        <v>332.51949999999999</v>
      </c>
      <c r="AB83" s="8">
        <f>'June 2025 YTD'!X81*2</f>
        <v>0</v>
      </c>
      <c r="AC83" s="8">
        <f>'June 2025 YTD'!Y81*2</f>
        <v>0</v>
      </c>
      <c r="AD83" s="8">
        <f>'June 2025 YTD'!Z81*2</f>
        <v>0</v>
      </c>
      <c r="AE83" s="8">
        <f>'June 2025 YTD'!AA81*2</f>
        <v>0</v>
      </c>
      <c r="AF83" s="8">
        <f>'June 2025 YTD'!AB81*2</f>
        <v>0</v>
      </c>
      <c r="AG83" s="8">
        <v>2976.28</v>
      </c>
      <c r="AH83" s="8">
        <f>2945.43+200</f>
        <v>3145.43</v>
      </c>
      <c r="AI83" s="8">
        <f>'June 2025 YTD'!AE81*2+50</f>
        <v>923.8</v>
      </c>
      <c r="AJ83" s="8">
        <f>'June 2025 YTD'!AF81*2</f>
        <v>0</v>
      </c>
      <c r="AK83" s="8">
        <f>'June 2025 YTD'!AG81*2+200-114.97-9.59+10.39</f>
        <v>189.45</v>
      </c>
      <c r="AL83" s="8">
        <f>'June 2025 YTD'!AH81*2+114.97-13.42+14.53</f>
        <v>116.08</v>
      </c>
      <c r="AM83" s="8">
        <f>150+78.93-36.09+41.52</f>
        <v>234.36</v>
      </c>
      <c r="AN83" s="8">
        <f>(200.84/9*12)*1.05-14.43+16.61</f>
        <v>283.35599999999999</v>
      </c>
      <c r="AO83" s="8">
        <v>0</v>
      </c>
      <c r="AP83" s="8">
        <v>0</v>
      </c>
      <c r="AQ83" s="8">
        <f>'June 2025 YTD'!AM81*2</f>
        <v>0</v>
      </c>
      <c r="AR83" s="8">
        <f>(1761.34/9*12)*1.08</f>
        <v>2536.3296</v>
      </c>
      <c r="AS83" s="8">
        <f>'June 2025 YTD'!AO81*2</f>
        <v>3158.68</v>
      </c>
      <c r="AT83" s="8">
        <f>'June 2025 YTD'!AP81*2</f>
        <v>0</v>
      </c>
      <c r="AU83" s="8">
        <f>'June 2025 YTD'!AQ81*2+150</f>
        <v>557.36</v>
      </c>
      <c r="AV83" s="8">
        <f>'June 2025 YTD'!AR81*2</f>
        <v>5805.3</v>
      </c>
      <c r="AW83" s="364"/>
      <c r="AX83" s="8">
        <f t="shared" si="46"/>
        <v>0</v>
      </c>
      <c r="AY83" s="8">
        <f t="shared" ref="AY83:BE84" si="147">AY214</f>
        <v>0</v>
      </c>
      <c r="AZ83" s="8">
        <f t="shared" si="147"/>
        <v>0</v>
      </c>
      <c r="BA83" s="8">
        <f t="shared" si="147"/>
        <v>0</v>
      </c>
      <c r="BB83" s="8">
        <f t="shared" si="147"/>
        <v>0</v>
      </c>
      <c r="BC83" s="8">
        <f t="shared" si="147"/>
        <v>0</v>
      </c>
      <c r="BD83" s="8">
        <f t="shared" si="147"/>
        <v>0</v>
      </c>
      <c r="BE83" s="8">
        <f t="shared" si="147"/>
        <v>0</v>
      </c>
      <c r="BF83" s="8">
        <f t="shared" ref="BF83:BL84" si="148">BF214</f>
        <v>0</v>
      </c>
      <c r="BG83" s="8">
        <f t="shared" si="148"/>
        <v>0</v>
      </c>
      <c r="BH83" s="8">
        <f t="shared" si="148"/>
        <v>0</v>
      </c>
      <c r="BI83" s="8">
        <f t="shared" si="148"/>
        <v>0</v>
      </c>
      <c r="BJ83" s="8">
        <f t="shared" si="148"/>
        <v>0</v>
      </c>
      <c r="BK83" s="8">
        <f t="shared" si="148"/>
        <v>0</v>
      </c>
      <c r="BL83" s="8">
        <f t="shared" si="148"/>
        <v>0</v>
      </c>
      <c r="BM83" s="8">
        <f>SUM(B83:BL83)</f>
        <v>135235.06686666666</v>
      </c>
      <c r="BN83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83" s="85" t="e">
        <f>BM83-BN83</f>
        <v>#REF!</v>
      </c>
      <c r="BS83" s="8" t="e">
        <f>SUM(B83:BL83)-#REF!-AV83-AP83-SUM(AY83:BL83)</f>
        <v>#REF!</v>
      </c>
      <c r="BT83" t="s">
        <v>157</v>
      </c>
    </row>
    <row r="84" spans="1:74">
      <c r="A84" s="7" t="s">
        <v>158</v>
      </c>
      <c r="B84" s="285">
        <v>14576.28</v>
      </c>
      <c r="C84" s="375">
        <f>SUM(E84:AV84)</f>
        <v>22102.1</v>
      </c>
      <c r="D84" s="375">
        <v>6730.95</v>
      </c>
      <c r="E84" s="8">
        <f>'June 2025 YTD'!AX82*2</f>
        <v>0</v>
      </c>
      <c r="F84" s="8">
        <f>'June 2025 YTD'!AY82*2</f>
        <v>0</v>
      </c>
      <c r="G84" s="8">
        <f>'June 2025 YTD'!C82*2+200+10750+828+'Cell PhoneTraining '!F8+'Cell PhoneTraining '!F9+4476.72-360.83</f>
        <v>19625.37</v>
      </c>
      <c r="H84" s="8">
        <f>'June 2025 YTD'!D82*2</f>
        <v>0</v>
      </c>
      <c r="I84" s="8">
        <f>'June 2025 YTD'!E82*2</f>
        <v>0</v>
      </c>
      <c r="J84" s="8">
        <f>'June 2025 YTD'!F82*2</f>
        <v>0</v>
      </c>
      <c r="K84" s="8">
        <f>'June 2025 YTD'!G82*2</f>
        <v>0</v>
      </c>
      <c r="L84" s="8">
        <f>'June 2025 YTD'!H82*2</f>
        <v>0</v>
      </c>
      <c r="M84" s="8">
        <f>'June 2025 YTD'!I82*2</f>
        <v>99.68</v>
      </c>
      <c r="N84" s="8">
        <f>'June 2025 YTD'!J82*2</f>
        <v>94.36</v>
      </c>
      <c r="O84" s="8">
        <f>'June 2025 YTD'!K82*2</f>
        <v>0</v>
      </c>
      <c r="P84" s="8">
        <f>'June 2025 YTD'!L82*2</f>
        <v>0</v>
      </c>
      <c r="Q84" s="8">
        <f>'June 2025 YTD'!M82*2</f>
        <v>0</v>
      </c>
      <c r="R84" s="8">
        <f>'June 2025 YTD'!N82*2</f>
        <v>0</v>
      </c>
      <c r="S84" s="8">
        <f>'June 2025 YTD'!O82*2</f>
        <v>0</v>
      </c>
      <c r="T84" s="8">
        <f>'June 2025 YTD'!P82*2</f>
        <v>0</v>
      </c>
      <c r="U84" s="8">
        <f>'June 2025 YTD'!Q82*2</f>
        <v>0</v>
      </c>
      <c r="V84" s="8">
        <f>'June 2025 YTD'!R82*2</f>
        <v>0</v>
      </c>
      <c r="W84" s="8">
        <f>'June 2025 YTD'!S82*2</f>
        <v>0</v>
      </c>
      <c r="X84" s="8">
        <f>'June 2025 YTD'!T82*2</f>
        <v>0</v>
      </c>
      <c r="Y84" s="8">
        <f>'June 2025 YTD'!U82*2</f>
        <v>0</v>
      </c>
      <c r="Z84" s="8">
        <f>'June 2025 YTD'!V82*2</f>
        <v>0</v>
      </c>
      <c r="AA84" s="8">
        <f>'June 2025 YTD'!W82*2</f>
        <v>0</v>
      </c>
      <c r="AB84" s="8">
        <f>'June 2025 YTD'!X82*2</f>
        <v>0</v>
      </c>
      <c r="AC84" s="8">
        <f>'June 2025 YTD'!Y82*2</f>
        <v>0</v>
      </c>
      <c r="AD84" s="8">
        <f>'June 2025 YTD'!Z82*2</f>
        <v>0</v>
      </c>
      <c r="AE84" s="8">
        <f>'June 2025 YTD'!AA82*2</f>
        <v>0</v>
      </c>
      <c r="AF84" s="8">
        <f>'June 2025 YTD'!AB82*2</f>
        <v>0</v>
      </c>
      <c r="AG84" s="8">
        <f>'June 2025 YTD'!AC82*2</f>
        <v>0</v>
      </c>
      <c r="AH84" s="8">
        <f>'June 2025 YTD'!AD82*2</f>
        <v>75.739999999999995</v>
      </c>
      <c r="AI84" s="8">
        <f>'June 2025 YTD'!AE82*2</f>
        <v>96.12</v>
      </c>
      <c r="AJ84" s="8">
        <f>'June 2025 YTD'!AF82*2</f>
        <v>0</v>
      </c>
      <c r="AK84" s="8">
        <v>250</v>
      </c>
      <c r="AL84" s="8">
        <f>'June 2025 YTD'!AH82*2</f>
        <v>0</v>
      </c>
      <c r="AM84" s="8">
        <f>'June 2025 YTD'!AI82*2</f>
        <v>0</v>
      </c>
      <c r="AN84" s="8">
        <f>'June 2025 YTD'!AJ82*2</f>
        <v>0</v>
      </c>
      <c r="AO84" s="8">
        <f>'June 2025 YTD'!AK82*2</f>
        <v>0</v>
      </c>
      <c r="AP84" s="8">
        <f>'June 2025 YTD'!AL82*2</f>
        <v>0</v>
      </c>
      <c r="AQ84" s="8">
        <f>'June 2025 YTD'!AM82*2</f>
        <v>0</v>
      </c>
      <c r="AR84" s="8">
        <f>'June 2025 YTD'!AN82*2</f>
        <v>0</v>
      </c>
      <c r="AS84" s="8">
        <f>'June 2025 YTD'!AO82*2</f>
        <v>0</v>
      </c>
      <c r="AT84" s="8">
        <f>'June 2025 YTD'!AP82*2</f>
        <v>0</v>
      </c>
      <c r="AU84" s="8">
        <f>'June 2025 YTD'!AQ82*2</f>
        <v>0</v>
      </c>
      <c r="AV84" s="8">
        <f>1500+360.83</f>
        <v>1860.83</v>
      </c>
      <c r="AW84" s="364"/>
      <c r="AX84" s="8">
        <f t="shared" si="46"/>
        <v>0</v>
      </c>
      <c r="AY84" s="8">
        <f t="shared" si="147"/>
        <v>0</v>
      </c>
      <c r="AZ84" s="8">
        <f t="shared" si="147"/>
        <v>0</v>
      </c>
      <c r="BA84" s="8">
        <f t="shared" si="147"/>
        <v>0</v>
      </c>
      <c r="BB84" s="8">
        <f t="shared" si="147"/>
        <v>0</v>
      </c>
      <c r="BC84" s="8">
        <f t="shared" si="147"/>
        <v>0</v>
      </c>
      <c r="BD84" s="8">
        <f t="shared" si="147"/>
        <v>0</v>
      </c>
      <c r="BE84" s="8">
        <f t="shared" si="147"/>
        <v>0</v>
      </c>
      <c r="BF84" s="8">
        <f t="shared" si="148"/>
        <v>0</v>
      </c>
      <c r="BG84" s="8">
        <f t="shared" si="148"/>
        <v>0</v>
      </c>
      <c r="BH84" s="8">
        <f t="shared" si="148"/>
        <v>0</v>
      </c>
      <c r="BI84" s="8">
        <f t="shared" si="148"/>
        <v>0</v>
      </c>
      <c r="BJ84" s="8">
        <f t="shared" si="148"/>
        <v>0</v>
      </c>
      <c r="BK84" s="8">
        <f t="shared" si="148"/>
        <v>0</v>
      </c>
      <c r="BL84" s="8">
        <f t="shared" si="148"/>
        <v>0</v>
      </c>
      <c r="BM84" s="8">
        <f>SUM(B84:BL84)</f>
        <v>65511.43</v>
      </c>
      <c r="BN84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84" s="85" t="e">
        <f>BM84-BN84</f>
        <v>#REF!</v>
      </c>
      <c r="BS84" s="8" t="e">
        <f>SUM(B84:BL84)-#REF!-AV84-AP84-SUM(AY84:BL84)</f>
        <v>#REF!</v>
      </c>
      <c r="BT84" t="s">
        <v>158</v>
      </c>
    </row>
    <row r="85" spans="1:74">
      <c r="A85" s="9" t="s">
        <v>159</v>
      </c>
      <c r="B85" s="287">
        <f t="shared" ref="B85:AK85" si="149">SUM(B83:B84)</f>
        <v>51768.03</v>
      </c>
      <c r="C85" s="377">
        <f t="shared" si="149"/>
        <v>59477.928433333334</v>
      </c>
      <c r="D85" s="378">
        <f>SUM(D83:D84)</f>
        <v>30022.61</v>
      </c>
      <c r="E85" s="10">
        <f t="shared" ref="E85" si="150">SUM(E83:E84)</f>
        <v>6521.7</v>
      </c>
      <c r="F85" s="10">
        <f>SUM(F83:F84)</f>
        <v>2500</v>
      </c>
      <c r="G85" s="10">
        <f t="shared" si="149"/>
        <v>21598.449999999997</v>
      </c>
      <c r="H85" s="10">
        <f t="shared" si="149"/>
        <v>0</v>
      </c>
      <c r="I85" s="10">
        <f t="shared" si="149"/>
        <v>679.17</v>
      </c>
      <c r="J85" s="10">
        <f t="shared" si="149"/>
        <v>0</v>
      </c>
      <c r="K85" s="10">
        <f t="shared" si="149"/>
        <v>2100</v>
      </c>
      <c r="L85" s="10">
        <f t="shared" si="149"/>
        <v>0</v>
      </c>
      <c r="M85" s="10">
        <f t="shared" si="149"/>
        <v>2049.6799999999998</v>
      </c>
      <c r="N85" s="10">
        <f t="shared" si="149"/>
        <v>340.4</v>
      </c>
      <c r="O85" s="10">
        <f t="shared" si="149"/>
        <v>60.52</v>
      </c>
      <c r="P85" s="10">
        <f t="shared" si="149"/>
        <v>0</v>
      </c>
      <c r="Q85" s="10">
        <f t="shared" si="149"/>
        <v>0</v>
      </c>
      <c r="R85" s="10">
        <f t="shared" si="149"/>
        <v>965.16000000000008</v>
      </c>
      <c r="S85" s="10">
        <f t="shared" si="149"/>
        <v>63.56</v>
      </c>
      <c r="T85" s="10">
        <f t="shared" si="149"/>
        <v>0</v>
      </c>
      <c r="U85" s="10">
        <f t="shared" si="149"/>
        <v>57.653333333333336</v>
      </c>
      <c r="V85" s="10">
        <f t="shared" si="149"/>
        <v>0</v>
      </c>
      <c r="W85" s="10">
        <f t="shared" si="149"/>
        <v>0</v>
      </c>
      <c r="X85" s="10">
        <f t="shared" si="149"/>
        <v>0</v>
      </c>
      <c r="Y85" s="10">
        <f t="shared" si="149"/>
        <v>0</v>
      </c>
      <c r="Z85" s="10">
        <f t="shared" si="149"/>
        <v>0</v>
      </c>
      <c r="AA85" s="10">
        <f t="shared" si="149"/>
        <v>332.51949999999999</v>
      </c>
      <c r="AB85" s="10">
        <f t="shared" si="149"/>
        <v>0</v>
      </c>
      <c r="AC85" s="10">
        <f t="shared" si="149"/>
        <v>0</v>
      </c>
      <c r="AD85" s="10">
        <f t="shared" si="149"/>
        <v>0</v>
      </c>
      <c r="AE85" s="10">
        <f t="shared" si="149"/>
        <v>0</v>
      </c>
      <c r="AF85" s="10">
        <f t="shared" si="149"/>
        <v>0</v>
      </c>
      <c r="AG85" s="10">
        <f t="shared" si="149"/>
        <v>2976.28</v>
      </c>
      <c r="AH85" s="10">
        <f t="shared" si="149"/>
        <v>3221.1699999999996</v>
      </c>
      <c r="AI85" s="10">
        <f t="shared" si="149"/>
        <v>1019.92</v>
      </c>
      <c r="AJ85" s="10">
        <f t="shared" si="149"/>
        <v>0</v>
      </c>
      <c r="AK85" s="10">
        <f t="shared" si="149"/>
        <v>439.45</v>
      </c>
      <c r="AL85" s="10">
        <f t="shared" ref="AL85:BN85" si="151">SUM(AL83:AL84)</f>
        <v>116.08</v>
      </c>
      <c r="AM85" s="10">
        <f t="shared" si="151"/>
        <v>234.36</v>
      </c>
      <c r="AN85" s="10">
        <f t="shared" si="151"/>
        <v>283.35599999999999</v>
      </c>
      <c r="AO85" s="10">
        <f t="shared" si="151"/>
        <v>0</v>
      </c>
      <c r="AP85" s="10">
        <f t="shared" si="151"/>
        <v>0</v>
      </c>
      <c r="AQ85" s="10">
        <f t="shared" si="151"/>
        <v>0</v>
      </c>
      <c r="AR85" s="10">
        <f t="shared" si="151"/>
        <v>2536.3296</v>
      </c>
      <c r="AS85" s="10">
        <f t="shared" si="151"/>
        <v>3158.68</v>
      </c>
      <c r="AT85" s="10">
        <f t="shared" si="151"/>
        <v>0</v>
      </c>
      <c r="AU85" s="10">
        <f t="shared" si="151"/>
        <v>557.36</v>
      </c>
      <c r="AV85" s="10">
        <f t="shared" si="151"/>
        <v>7666.13</v>
      </c>
      <c r="AW85" s="366"/>
      <c r="AX85" s="4">
        <f t="shared" si="46"/>
        <v>0</v>
      </c>
      <c r="AY85" s="10">
        <f t="shared" si="151"/>
        <v>0</v>
      </c>
      <c r="AZ85" s="10">
        <f t="shared" si="151"/>
        <v>0</v>
      </c>
      <c r="BA85" s="10">
        <f t="shared" si="151"/>
        <v>0</v>
      </c>
      <c r="BB85" s="10">
        <f t="shared" si="151"/>
        <v>0</v>
      </c>
      <c r="BC85" s="10">
        <f t="shared" si="151"/>
        <v>0</v>
      </c>
      <c r="BD85" s="10">
        <f t="shared" si="151"/>
        <v>0</v>
      </c>
      <c r="BE85" s="10">
        <f t="shared" si="151"/>
        <v>0</v>
      </c>
      <c r="BF85" s="10">
        <f t="shared" si="151"/>
        <v>0</v>
      </c>
      <c r="BG85" s="10">
        <f t="shared" si="151"/>
        <v>0</v>
      </c>
      <c r="BH85" s="10">
        <f t="shared" si="151"/>
        <v>0</v>
      </c>
      <c r="BI85" s="10">
        <f t="shared" si="151"/>
        <v>0</v>
      </c>
      <c r="BJ85" s="10">
        <f t="shared" si="151"/>
        <v>0</v>
      </c>
      <c r="BK85" s="10">
        <f t="shared" si="151"/>
        <v>0</v>
      </c>
      <c r="BL85" s="10">
        <f t="shared" si="151"/>
        <v>0</v>
      </c>
      <c r="BM85" s="10">
        <f t="shared" si="151"/>
        <v>200746.49686666665</v>
      </c>
      <c r="BN85" s="10" t="e">
        <f t="shared" si="151"/>
        <v>#REF!</v>
      </c>
      <c r="BO85" s="114" t="e">
        <f>BM85-BN85</f>
        <v>#REF!</v>
      </c>
      <c r="BS85" s="10" t="e">
        <f>SUM(BS83:BS84)</f>
        <v>#REF!</v>
      </c>
      <c r="BT85" t="s">
        <v>159</v>
      </c>
    </row>
    <row r="86" spans="1:74" ht="12" customHeight="1">
      <c r="A86" s="6" t="s">
        <v>160</v>
      </c>
      <c r="B86" s="19"/>
      <c r="C86" s="82"/>
      <c r="D86" s="82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366"/>
      <c r="AX86" s="8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O86" s="85"/>
      <c r="BS86" s="4"/>
      <c r="BT86" t="s">
        <v>160</v>
      </c>
    </row>
    <row r="87" spans="1:74">
      <c r="A87" s="7" t="s">
        <v>161</v>
      </c>
      <c r="B87" s="285">
        <v>15504.72</v>
      </c>
      <c r="C87" s="375">
        <f>SUM(E87:AV87)</f>
        <v>16090.26</v>
      </c>
      <c r="D87" s="375">
        <v>11757.72</v>
      </c>
      <c r="E87" s="8">
        <v>500</v>
      </c>
      <c r="F87" s="8">
        <v>500</v>
      </c>
      <c r="G87" s="8">
        <f>'June 2025 YTD'!C85*2+8100+8+2250</f>
        <v>11408</v>
      </c>
      <c r="H87" s="8">
        <f>'June 2025 YTD'!D85*2</f>
        <v>0</v>
      </c>
      <c r="I87" s="8">
        <f>'June 2025 YTD'!E85*2</f>
        <v>0</v>
      </c>
      <c r="J87" s="8">
        <f>'June 2025 YTD'!F85*2</f>
        <v>0</v>
      </c>
      <c r="K87" s="8">
        <v>500</v>
      </c>
      <c r="L87" s="8">
        <f>'June 2025 YTD'!H85*2</f>
        <v>0</v>
      </c>
      <c r="M87" s="8">
        <f>'June 2025 YTD'!I85*2</f>
        <v>0</v>
      </c>
      <c r="N87" s="8">
        <v>593.97</v>
      </c>
      <c r="O87" s="8">
        <f>'June 2025 YTD'!K85*2</f>
        <v>0</v>
      </c>
      <c r="P87" s="8">
        <f>'June 2025 YTD'!L85*2</f>
        <v>0</v>
      </c>
      <c r="Q87" s="8">
        <f>'June 2025 YTD'!M85*2</f>
        <v>0</v>
      </c>
      <c r="R87" s="8">
        <f>'June 2025 YTD'!N85*2</f>
        <v>0</v>
      </c>
      <c r="S87" s="8">
        <f>'June 2025 YTD'!O85*2</f>
        <v>0</v>
      </c>
      <c r="T87" s="8">
        <f>'June 2025 YTD'!P85*2</f>
        <v>0</v>
      </c>
      <c r="U87" s="8">
        <f>'June 2025 YTD'!Q85*2</f>
        <v>0</v>
      </c>
      <c r="V87" s="8">
        <f>'June 2025 YTD'!R85*2</f>
        <v>0</v>
      </c>
      <c r="W87" s="8">
        <f>'June 2025 YTD'!S85*2</f>
        <v>0</v>
      </c>
      <c r="X87" s="8">
        <f>1004.72-8.43</f>
        <v>996.29000000000008</v>
      </c>
      <c r="Y87" s="8">
        <f>'June 2025 YTD'!U85*2</f>
        <v>0</v>
      </c>
      <c r="Z87" s="8">
        <f>'June 2025 YTD'!V85*2</f>
        <v>0</v>
      </c>
      <c r="AA87" s="8">
        <f>'June 2025 YTD'!W85*2</f>
        <v>0</v>
      </c>
      <c r="AB87" s="8">
        <f>'June 2025 YTD'!X85*2</f>
        <v>0</v>
      </c>
      <c r="AC87" s="8">
        <f>'June 2025 YTD'!Y85*2</f>
        <v>0</v>
      </c>
      <c r="AD87" s="8">
        <f>'June 2025 YTD'!Z85*2</f>
        <v>0</v>
      </c>
      <c r="AE87" s="8">
        <f>'June 2025 YTD'!AA85*2</f>
        <v>0</v>
      </c>
      <c r="AF87" s="8">
        <f>'June 2025 YTD'!AB85*2</f>
        <v>0</v>
      </c>
      <c r="AG87" s="8">
        <f>'June 2025 YTD'!AC85*2</f>
        <v>0</v>
      </c>
      <c r="AH87" s="8">
        <f>'June 2025 YTD'!AD85*2</f>
        <v>0</v>
      </c>
      <c r="AI87" s="8">
        <f>'June 2025 YTD'!AE85*2</f>
        <v>0</v>
      </c>
      <c r="AJ87" s="8">
        <f>'June 2025 YTD'!AF85*2</f>
        <v>0</v>
      </c>
      <c r="AK87" s="8">
        <f>'June 2025 YTD'!AG85*2</f>
        <v>0</v>
      </c>
      <c r="AL87" s="8">
        <f>'June 2025 YTD'!AH85*2</f>
        <v>0</v>
      </c>
      <c r="AM87" s="8">
        <f>'June 2025 YTD'!AI85*2</f>
        <v>0</v>
      </c>
      <c r="AN87" s="8">
        <f>'June 2025 YTD'!AJ85*2</f>
        <v>1592</v>
      </c>
      <c r="AO87" s="8">
        <f>'June 2025 YTD'!AK85*2</f>
        <v>0</v>
      </c>
      <c r="AP87" s="8">
        <f>'June 2025 YTD'!AL85*2</f>
        <v>0</v>
      </c>
      <c r="AQ87" s="8">
        <f>'June 2025 YTD'!AM85*2</f>
        <v>0</v>
      </c>
      <c r="AR87" s="8">
        <f>'June 2025 YTD'!AN85*2</f>
        <v>0</v>
      </c>
      <c r="AS87" s="8">
        <f>'June 2025 YTD'!AO85*2</f>
        <v>0</v>
      </c>
      <c r="AT87" s="8">
        <f>'June 2025 YTD'!AP85*2</f>
        <v>0</v>
      </c>
      <c r="AU87" s="8">
        <f>'June 2025 YTD'!AQ85*2</f>
        <v>0</v>
      </c>
      <c r="AV87" s="8">
        <f>'June 2025 YTD'!AR85*2</f>
        <v>0</v>
      </c>
      <c r="AW87" s="364"/>
      <c r="AX87" s="8">
        <f t="shared" si="46"/>
        <v>0</v>
      </c>
      <c r="AY87" s="8">
        <f>('June 2024 YTD'!BI84*2)*1.05</f>
        <v>0</v>
      </c>
      <c r="AZ87" s="8">
        <f>('June 2024 YTD'!BJ84*2)*1.05</f>
        <v>0</v>
      </c>
      <c r="BA87" s="8">
        <f>('June 2024 YTD'!BK84*2)*1.05</f>
        <v>0</v>
      </c>
      <c r="BB87" s="8">
        <f>('June 2024 YTD'!BL84*2)*1.05</f>
        <v>0</v>
      </c>
      <c r="BC87" s="8">
        <f>('June 2024 YTD'!BM84*2)*1.05</f>
        <v>0</v>
      </c>
      <c r="BD87" s="8">
        <f>('June 2024 YTD'!BN84*2)*1.05</f>
        <v>0</v>
      </c>
      <c r="BE87" s="8">
        <f>('June 2024 YTD'!BO84*2)*1.05</f>
        <v>0</v>
      </c>
      <c r="BF87" s="8">
        <f>('June 2024 YTD'!BP84*2)*1.05</f>
        <v>0</v>
      </c>
      <c r="BG87" s="8">
        <f>('June 2024 YTD'!BQ84*2)*1.05</f>
        <v>0</v>
      </c>
      <c r="BH87" s="8">
        <f>('June 2024 YTD'!BR84*2)*1.05</f>
        <v>0</v>
      </c>
      <c r="BI87" s="8">
        <f>('June 2024 YTD'!BS84*2)*1.05</f>
        <v>0</v>
      </c>
      <c r="BJ87" s="8">
        <f>('June 2024 YTD'!BT84*2)*1.05</f>
        <v>0</v>
      </c>
      <c r="BK87" s="8">
        <f>('June 2024 YTD'!BU84*2)*1.05</f>
        <v>0</v>
      </c>
      <c r="BL87" s="8">
        <f>('June 2024 YTD'!BV84*2)*1.05</f>
        <v>0</v>
      </c>
      <c r="BM87" s="8">
        <f>SUM(B87:BL87)</f>
        <v>59442.96</v>
      </c>
      <c r="BN87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87" s="85" t="e">
        <f>BM87-BN87</f>
        <v>#REF!</v>
      </c>
      <c r="BS87" s="8" t="e">
        <f>SUM(B87:BL87)-#REF!-AV87-AP87-SUM(AY87:BL87)</f>
        <v>#REF!</v>
      </c>
      <c r="BT87" t="s">
        <v>161</v>
      </c>
    </row>
    <row r="88" spans="1:74">
      <c r="A88" s="7" t="s">
        <v>162</v>
      </c>
      <c r="B88" s="285">
        <v>6517</v>
      </c>
      <c r="C88" s="375">
        <f>SUM(E88:AV88)</f>
        <v>7631.87</v>
      </c>
      <c r="D88" s="375">
        <v>4610.5</v>
      </c>
      <c r="E88" s="8">
        <v>52</v>
      </c>
      <c r="F88" s="8">
        <v>100</v>
      </c>
      <c r="G88" s="8">
        <f>'June 2025 YTD'!C86*2+3500</f>
        <v>3500</v>
      </c>
      <c r="H88" s="8">
        <f>'June 2025 YTD'!D86*2</f>
        <v>0</v>
      </c>
      <c r="I88" s="8">
        <v>972.78</v>
      </c>
      <c r="J88" s="8">
        <f>'June 2025 YTD'!F86*2</f>
        <v>0</v>
      </c>
      <c r="K88" s="8">
        <f>'June 2025 YTD'!G86*2</f>
        <v>0</v>
      </c>
      <c r="L88" s="8">
        <f>'June 2025 YTD'!H86*2</f>
        <v>0</v>
      </c>
      <c r="M88" s="8">
        <f>'June 2025 YTD'!I86*2</f>
        <v>0</v>
      </c>
      <c r="N88" s="8">
        <v>800</v>
      </c>
      <c r="O88" s="8">
        <f>'June 2025 YTD'!K86*2</f>
        <v>0</v>
      </c>
      <c r="P88" s="8">
        <f>'June 2025 YTD'!L86*2</f>
        <v>0</v>
      </c>
      <c r="Q88" s="8">
        <f>'June 2025 YTD'!M86*2</f>
        <v>0</v>
      </c>
      <c r="R88" s="8">
        <f>'June 2025 YTD'!N86*2</f>
        <v>0</v>
      </c>
      <c r="S88" s="8">
        <f>'June 2025 YTD'!O86*2</f>
        <v>0</v>
      </c>
      <c r="T88" s="8">
        <f>'June 2025 YTD'!P86*2</f>
        <v>0</v>
      </c>
      <c r="U88" s="8">
        <f>'June 2025 YTD'!Q86*2</f>
        <v>0</v>
      </c>
      <c r="V88" s="8">
        <f>'June 2025 YTD'!R86*2</f>
        <v>0</v>
      </c>
      <c r="W88" s="8">
        <f>'June 2025 YTD'!S86*2</f>
        <v>0</v>
      </c>
      <c r="X88" s="8">
        <f>'June 2025 YTD'!T86*2</f>
        <v>0</v>
      </c>
      <c r="Y88" s="8">
        <f>'June 2025 YTD'!U86*2</f>
        <v>0</v>
      </c>
      <c r="Z88" s="8">
        <f>'June 2025 YTD'!V86*2</f>
        <v>0</v>
      </c>
      <c r="AA88" s="8">
        <f>'June 2025 YTD'!W86*2</f>
        <v>0</v>
      </c>
      <c r="AB88" s="8">
        <f>'June 2025 YTD'!X86*2</f>
        <v>0</v>
      </c>
      <c r="AC88" s="8">
        <f>'June 2025 YTD'!Y86*2</f>
        <v>0</v>
      </c>
      <c r="AD88" s="8">
        <f>'June 2025 YTD'!Z86*2</f>
        <v>0</v>
      </c>
      <c r="AE88" s="8">
        <f>'June 2025 YTD'!AA86*2</f>
        <v>0</v>
      </c>
      <c r="AF88" s="8">
        <f>'June 2025 YTD'!AB86*2</f>
        <v>0</v>
      </c>
      <c r="AG88" s="8">
        <f>'June 2025 YTD'!AC86*2</f>
        <v>0</v>
      </c>
      <c r="AH88" s="8">
        <f>'June 2025 YTD'!AD86*2</f>
        <v>0</v>
      </c>
      <c r="AI88" s="8">
        <f>'June 2025 YTD'!AE86+142.09</f>
        <v>2207.09</v>
      </c>
      <c r="AJ88" s="8">
        <f>'June 2025 YTD'!AF86*2</f>
        <v>0</v>
      </c>
      <c r="AK88" s="8">
        <f>'June 2025 YTD'!AG86*2</f>
        <v>0</v>
      </c>
      <c r="AL88" s="8">
        <f>'June 2025 YTD'!AH86*2</f>
        <v>0</v>
      </c>
      <c r="AM88" s="8">
        <f>'June 2025 YTD'!AI86*2</f>
        <v>0</v>
      </c>
      <c r="AN88" s="8">
        <f>'June 2025 YTD'!AJ86*2</f>
        <v>0</v>
      </c>
      <c r="AO88" s="8">
        <f>'June 2025 YTD'!AK86*2</f>
        <v>0</v>
      </c>
      <c r="AP88" s="8">
        <f>'June 2025 YTD'!AL86*2</f>
        <v>0</v>
      </c>
      <c r="AQ88" s="8">
        <f>'June 2025 YTD'!AM86*2</f>
        <v>0</v>
      </c>
      <c r="AR88" s="8">
        <f>'June 2025 YTD'!AN86*2</f>
        <v>0</v>
      </c>
      <c r="AS88" s="8">
        <f>'June 2025 YTD'!AO86*2</f>
        <v>0</v>
      </c>
      <c r="AT88" s="8">
        <f>'June 2025 YTD'!AP86*2</f>
        <v>0</v>
      </c>
      <c r="AU88" s="8">
        <f>'June 2025 YTD'!AQ86*2</f>
        <v>0</v>
      </c>
      <c r="AV88" s="8">
        <f>'June 2025 YTD'!AR86*2</f>
        <v>0</v>
      </c>
      <c r="AW88" s="364"/>
      <c r="AX88" s="8">
        <f t="shared" si="46"/>
        <v>0</v>
      </c>
      <c r="AY88" s="8">
        <f>('June 2024 YTD'!BI85*2)*1.05</f>
        <v>0</v>
      </c>
      <c r="AZ88" s="8">
        <f>('June 2024 YTD'!BJ85*2)*1.05</f>
        <v>0</v>
      </c>
      <c r="BA88" s="8">
        <f>('June 2024 YTD'!BK85*2)*1.05</f>
        <v>0</v>
      </c>
      <c r="BB88" s="8">
        <f>('June 2024 YTD'!BL85*2)*1.05</f>
        <v>0</v>
      </c>
      <c r="BC88" s="8">
        <f>('June 2024 YTD'!BM85*2)*1.05</f>
        <v>0</v>
      </c>
      <c r="BD88" s="8">
        <f>('June 2024 YTD'!BN85*2)*1.05</f>
        <v>0</v>
      </c>
      <c r="BE88" s="8">
        <f>('June 2024 YTD'!BO85*2)*1.05</f>
        <v>0</v>
      </c>
      <c r="BF88" s="8">
        <f>('June 2024 YTD'!BP85*2)*1.05</f>
        <v>0</v>
      </c>
      <c r="BG88" s="8">
        <f>('June 2024 YTD'!BQ85*2)*1.05</f>
        <v>0</v>
      </c>
      <c r="BH88" s="8">
        <f>('June 2024 YTD'!BR85*2)*1.05</f>
        <v>0</v>
      </c>
      <c r="BI88" s="8">
        <f>('June 2024 YTD'!BS85*2)*1.05</f>
        <v>0</v>
      </c>
      <c r="BJ88" s="8">
        <f>('June 2024 YTD'!BT85*2)*1.05</f>
        <v>0</v>
      </c>
      <c r="BK88" s="8">
        <f>('June 2024 YTD'!BU85*2)*1.05</f>
        <v>0</v>
      </c>
      <c r="BL88" s="8">
        <f>('June 2024 YTD'!BV85*2)*1.05</f>
        <v>0</v>
      </c>
      <c r="BM88" s="8">
        <f>SUM(B88:BL88)</f>
        <v>26391.239999999998</v>
      </c>
      <c r="BN88" s="83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88" s="85" t="e">
        <f>BM88-BN88</f>
        <v>#REF!</v>
      </c>
      <c r="BS88" s="8" t="e">
        <f>SUM(B88:BL88)-#REF!-AV88-AP88-SUM(AY88:BL88)</f>
        <v>#REF!</v>
      </c>
      <c r="BT88" t="s">
        <v>162</v>
      </c>
    </row>
    <row r="89" spans="1:74">
      <c r="A89" s="9" t="s">
        <v>163</v>
      </c>
      <c r="B89" s="287">
        <f t="shared" ref="B89:BC89" si="152">SUM(B87:B88)</f>
        <v>22021.72</v>
      </c>
      <c r="C89" s="377">
        <f t="shared" si="152"/>
        <v>23722.13</v>
      </c>
      <c r="D89" s="386">
        <f>SUM(D87:D88)</f>
        <v>16368.22</v>
      </c>
      <c r="E89" s="10">
        <f>SUM(E87:E88)</f>
        <v>552</v>
      </c>
      <c r="F89" s="10">
        <f>SUM(F87:F88)</f>
        <v>600</v>
      </c>
      <c r="G89" s="4">
        <f>SUM(G87:G88)</f>
        <v>14908</v>
      </c>
      <c r="H89" s="10">
        <f t="shared" si="152"/>
        <v>0</v>
      </c>
      <c r="I89" s="10">
        <f t="shared" si="152"/>
        <v>972.78</v>
      </c>
      <c r="J89" s="10">
        <f t="shared" si="152"/>
        <v>0</v>
      </c>
      <c r="K89" s="10">
        <f t="shared" si="152"/>
        <v>500</v>
      </c>
      <c r="L89" s="10">
        <f t="shared" si="152"/>
        <v>0</v>
      </c>
      <c r="M89" s="10">
        <f t="shared" si="152"/>
        <v>0</v>
      </c>
      <c r="N89" s="10">
        <f t="shared" si="152"/>
        <v>1393.97</v>
      </c>
      <c r="O89" s="10">
        <f t="shared" si="152"/>
        <v>0</v>
      </c>
      <c r="P89" s="10">
        <f t="shared" si="152"/>
        <v>0</v>
      </c>
      <c r="Q89" s="10">
        <f t="shared" si="152"/>
        <v>0</v>
      </c>
      <c r="R89" s="10">
        <f t="shared" si="152"/>
        <v>0</v>
      </c>
      <c r="S89" s="10">
        <f t="shared" si="152"/>
        <v>0</v>
      </c>
      <c r="T89" s="10">
        <f t="shared" si="152"/>
        <v>0</v>
      </c>
      <c r="U89" s="10">
        <f t="shared" si="152"/>
        <v>0</v>
      </c>
      <c r="V89" s="10">
        <f t="shared" si="152"/>
        <v>0</v>
      </c>
      <c r="W89" s="10">
        <f t="shared" si="152"/>
        <v>0</v>
      </c>
      <c r="X89" s="10">
        <f t="shared" si="152"/>
        <v>996.29000000000008</v>
      </c>
      <c r="Y89" s="10">
        <f t="shared" si="152"/>
        <v>0</v>
      </c>
      <c r="Z89" s="10">
        <f t="shared" si="152"/>
        <v>0</v>
      </c>
      <c r="AA89" s="10">
        <f t="shared" si="152"/>
        <v>0</v>
      </c>
      <c r="AB89" s="10">
        <f t="shared" si="152"/>
        <v>0</v>
      </c>
      <c r="AC89" s="10">
        <f t="shared" ref="AC89:AD89" si="153">SUM(AC87:AC88)</f>
        <v>0</v>
      </c>
      <c r="AD89" s="10">
        <f t="shared" si="153"/>
        <v>0</v>
      </c>
      <c r="AE89" s="10">
        <f t="shared" si="152"/>
        <v>0</v>
      </c>
      <c r="AF89" s="10">
        <f t="shared" si="152"/>
        <v>0</v>
      </c>
      <c r="AG89" s="10">
        <f t="shared" ref="AG89:AH89" si="154">SUM(AG87:AG88)</f>
        <v>0</v>
      </c>
      <c r="AH89" s="10">
        <f t="shared" si="154"/>
        <v>0</v>
      </c>
      <c r="AI89" s="10">
        <f t="shared" ref="AI89" si="155">SUM(AI87:AI88)</f>
        <v>2207.09</v>
      </c>
      <c r="AJ89" s="10">
        <f t="shared" ref="AJ89:AO89" si="156">SUM(AJ87:AJ88)</f>
        <v>0</v>
      </c>
      <c r="AK89" s="10">
        <f t="shared" si="156"/>
        <v>0</v>
      </c>
      <c r="AL89" s="10">
        <f t="shared" si="156"/>
        <v>0</v>
      </c>
      <c r="AM89" s="10">
        <f t="shared" si="156"/>
        <v>0</v>
      </c>
      <c r="AN89" s="10">
        <f t="shared" si="156"/>
        <v>1592</v>
      </c>
      <c r="AO89" s="10">
        <f t="shared" si="156"/>
        <v>0</v>
      </c>
      <c r="AP89" s="10">
        <f t="shared" si="152"/>
        <v>0</v>
      </c>
      <c r="AQ89" s="10">
        <f t="shared" si="152"/>
        <v>0</v>
      </c>
      <c r="AR89" s="10">
        <f t="shared" si="152"/>
        <v>0</v>
      </c>
      <c r="AS89" s="10">
        <f t="shared" si="152"/>
        <v>0</v>
      </c>
      <c r="AT89" s="10">
        <f t="shared" si="152"/>
        <v>0</v>
      </c>
      <c r="AU89" s="10">
        <f t="shared" si="152"/>
        <v>0</v>
      </c>
      <c r="AV89" s="10">
        <f t="shared" si="152"/>
        <v>0</v>
      </c>
      <c r="AW89" s="366"/>
      <c r="AX89" s="4">
        <f t="shared" si="46"/>
        <v>0</v>
      </c>
      <c r="AY89" s="10">
        <f t="shared" si="152"/>
        <v>0</v>
      </c>
      <c r="AZ89" s="10">
        <f t="shared" si="152"/>
        <v>0</v>
      </c>
      <c r="BA89" s="10">
        <f t="shared" si="152"/>
        <v>0</v>
      </c>
      <c r="BB89" s="10">
        <f t="shared" si="152"/>
        <v>0</v>
      </c>
      <c r="BC89" s="10">
        <f t="shared" si="152"/>
        <v>0</v>
      </c>
      <c r="BD89" s="10">
        <f t="shared" ref="BD89:BN89" si="157">SUM(BD87:BD88)</f>
        <v>0</v>
      </c>
      <c r="BE89" s="10">
        <f t="shared" si="157"/>
        <v>0</v>
      </c>
      <c r="BF89" s="10">
        <f t="shared" si="157"/>
        <v>0</v>
      </c>
      <c r="BG89" s="10">
        <f t="shared" si="157"/>
        <v>0</v>
      </c>
      <c r="BH89" s="10">
        <f t="shared" si="157"/>
        <v>0</v>
      </c>
      <c r="BI89" s="10">
        <f t="shared" si="157"/>
        <v>0</v>
      </c>
      <c r="BJ89" s="10">
        <f t="shared" si="157"/>
        <v>0</v>
      </c>
      <c r="BK89" s="10">
        <f t="shared" si="157"/>
        <v>0</v>
      </c>
      <c r="BL89" s="10">
        <f t="shared" si="157"/>
        <v>0</v>
      </c>
      <c r="BM89" s="10">
        <f t="shared" si="157"/>
        <v>85834.2</v>
      </c>
      <c r="BN89" s="10" t="e">
        <f t="shared" si="157"/>
        <v>#REF!</v>
      </c>
      <c r="BO89" s="114" t="e">
        <f>BM89-BN89</f>
        <v>#REF!</v>
      </c>
      <c r="BS89" s="10" t="e">
        <f t="shared" ref="BS89" si="158">SUM(BS87:BS88)</f>
        <v>#REF!</v>
      </c>
      <c r="BT89" t="s">
        <v>163</v>
      </c>
    </row>
    <row r="90" spans="1:74">
      <c r="A90" s="11" t="s">
        <v>164</v>
      </c>
      <c r="B90" s="346">
        <f>SUM(G90:AV90)</f>
        <v>22777.35999999999</v>
      </c>
      <c r="C90" s="375">
        <f>SUM(E90:AV90)</f>
        <v>23336.35999999999</v>
      </c>
      <c r="D90" s="375">
        <v>33903.629999999997</v>
      </c>
      <c r="E90" s="8">
        <v>309</v>
      </c>
      <c r="F90" s="8">
        <v>250</v>
      </c>
      <c r="G90" s="8">
        <f>'June 2025 YTD'!C88*2+750</f>
        <v>12239.18</v>
      </c>
      <c r="H90" s="8">
        <f>'June 2025 YTD'!D88*2</f>
        <v>14.36</v>
      </c>
      <c r="I90" s="8">
        <f>'June 2025 YTD'!E88*2</f>
        <v>101.24</v>
      </c>
      <c r="J90" s="8">
        <f>'June 2025 YTD'!F88*2</f>
        <v>147.06</v>
      </c>
      <c r="K90" s="8">
        <f>'June 2025 YTD'!G88*2</f>
        <v>178.86</v>
      </c>
      <c r="L90" s="8">
        <f>'June 2025 YTD'!H88*2</f>
        <v>259.77999999999997</v>
      </c>
      <c r="M90" s="8">
        <f>'June 2025 YTD'!I88*2</f>
        <v>402.82</v>
      </c>
      <c r="N90" s="8">
        <f>'June 2025 YTD'!J88*2</f>
        <v>1135.78</v>
      </c>
      <c r="O90" s="8">
        <f>'June 2025 YTD'!K88*2</f>
        <v>322.32</v>
      </c>
      <c r="P90" s="8">
        <f>'June 2025 YTD'!L88*2</f>
        <v>75.36</v>
      </c>
      <c r="Q90" s="8">
        <f>'June 2025 YTD'!M88*2</f>
        <v>216.92</v>
      </c>
      <c r="R90" s="8">
        <f>'June 2025 YTD'!N88*2</f>
        <v>1257.06</v>
      </c>
      <c r="S90" s="8">
        <f>'June 2025 YTD'!O88*2</f>
        <v>104.3</v>
      </c>
      <c r="T90" s="8">
        <f>'June 2025 YTD'!P88*2</f>
        <v>19.920000000000002</v>
      </c>
      <c r="U90" s="8">
        <f>'June 2025 YTD'!Q88*2</f>
        <v>142.30000000000001</v>
      </c>
      <c r="V90" s="8">
        <f>'June 2025 YTD'!R88*2</f>
        <v>0</v>
      </c>
      <c r="W90" s="8">
        <f>'June 2025 YTD'!S88*2</f>
        <v>0</v>
      </c>
      <c r="X90" s="8">
        <f>'June 2025 YTD'!T88*2</f>
        <v>539.34</v>
      </c>
      <c r="Y90" s="8">
        <f>'June 2025 YTD'!U88*2</f>
        <v>13.48</v>
      </c>
      <c r="Z90" s="8">
        <f>'June 2025 YTD'!V88*2</f>
        <v>95.86</v>
      </c>
      <c r="AA90" s="8">
        <f>'June 2025 YTD'!W88*2</f>
        <v>289.92</v>
      </c>
      <c r="AB90" s="8">
        <f>'June 2025 YTD'!X88*2</f>
        <v>982.88</v>
      </c>
      <c r="AC90" s="8">
        <f>'June 2025 YTD'!Y88*2</f>
        <v>0</v>
      </c>
      <c r="AD90" s="8">
        <f>'June 2025 YTD'!Z88*2</f>
        <v>0</v>
      </c>
      <c r="AE90" s="8">
        <f>'June 2025 YTD'!AA88*2</f>
        <v>7.06</v>
      </c>
      <c r="AF90" s="8">
        <f>'June 2025 YTD'!AB88*2+1.22</f>
        <v>3.8</v>
      </c>
      <c r="AG90" s="8">
        <f>'June 2025 YTD'!AC88*2</f>
        <v>779.54</v>
      </c>
      <c r="AH90" s="8">
        <f>'June 2025 YTD'!AD88*2</f>
        <v>145.26</v>
      </c>
      <c r="AI90" s="8">
        <f>'June 2025 YTD'!AE88*2</f>
        <v>179.14</v>
      </c>
      <c r="AJ90" s="8">
        <f>'June 2025 YTD'!AF88*2</f>
        <v>21.56</v>
      </c>
      <c r="AK90" s="8">
        <f>'June 2025 YTD'!AG88*2</f>
        <v>19.14</v>
      </c>
      <c r="AL90" s="8">
        <f>'June 2025 YTD'!AH88*2</f>
        <v>16.14</v>
      </c>
      <c r="AM90" s="8">
        <f>'June 2025 YTD'!AI88*2-2.26</f>
        <v>62.780000000000008</v>
      </c>
      <c r="AN90" s="8">
        <f>'June 2025 YTD'!AJ88*2</f>
        <v>30.8</v>
      </c>
      <c r="AO90" s="8">
        <f>'June 2025 YTD'!AK88*2</f>
        <v>0</v>
      </c>
      <c r="AP90" s="8">
        <v>0</v>
      </c>
      <c r="AQ90" s="8">
        <f>'June 2025 YTD'!AM88*2</f>
        <v>4.46</v>
      </c>
      <c r="AR90" s="8">
        <f>'June 2025 YTD'!AN88*2</f>
        <v>6.26</v>
      </c>
      <c r="AS90" s="8">
        <f>'June 2025 YTD'!AO88*2</f>
        <v>139.97999999999999</v>
      </c>
      <c r="AT90" s="8">
        <f>'June 2025 YTD'!AP88*2</f>
        <v>324.92</v>
      </c>
      <c r="AU90" s="8">
        <v>250</v>
      </c>
      <c r="AV90" s="8">
        <f>'June 2025 YTD'!AR88*2</f>
        <v>2247.7800000000002</v>
      </c>
      <c r="AW90" s="364"/>
      <c r="AX90" s="4">
        <f t="shared" si="46"/>
        <v>0</v>
      </c>
      <c r="AY90" s="8">
        <f t="shared" ref="AY90:BE90" si="159">AY220</f>
        <v>0</v>
      </c>
      <c r="AZ90" s="8">
        <f t="shared" si="159"/>
        <v>0</v>
      </c>
      <c r="BA90" s="8">
        <f t="shared" si="159"/>
        <v>0</v>
      </c>
      <c r="BB90" s="8">
        <f t="shared" si="159"/>
        <v>0</v>
      </c>
      <c r="BC90" s="8">
        <f t="shared" si="159"/>
        <v>0</v>
      </c>
      <c r="BD90" s="8">
        <f t="shared" si="159"/>
        <v>0</v>
      </c>
      <c r="BE90" s="8">
        <f t="shared" si="159"/>
        <v>0</v>
      </c>
      <c r="BF90" s="8">
        <f t="shared" ref="BF90:BL90" si="160">BF220</f>
        <v>0</v>
      </c>
      <c r="BG90" s="8">
        <f t="shared" si="160"/>
        <v>0</v>
      </c>
      <c r="BH90" s="8">
        <f t="shared" si="160"/>
        <v>0</v>
      </c>
      <c r="BI90" s="8">
        <f t="shared" si="160"/>
        <v>0</v>
      </c>
      <c r="BJ90" s="8">
        <f t="shared" si="160"/>
        <v>0</v>
      </c>
      <c r="BK90" s="8">
        <f t="shared" si="160"/>
        <v>0</v>
      </c>
      <c r="BL90" s="8">
        <f t="shared" si="160"/>
        <v>0</v>
      </c>
      <c r="BM90" s="4">
        <f>SUM(B90:BL90)</f>
        <v>103353.70999999996</v>
      </c>
      <c r="BN90" s="109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90" s="114" t="e">
        <f>BM90-BN90</f>
        <v>#REF!</v>
      </c>
      <c r="BS90" s="4" t="e">
        <f>SUM(B90:BL90)-#REF!-AV90-AP90-SUM(AY90:BL90)</f>
        <v>#REF!</v>
      </c>
      <c r="BT90" t="s">
        <v>164</v>
      </c>
      <c r="BV90" s="8"/>
    </row>
    <row r="91" spans="1:74">
      <c r="A91" s="6" t="s">
        <v>165</v>
      </c>
      <c r="B91" s="19"/>
      <c r="C91" s="82"/>
      <c r="D91" s="82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366"/>
      <c r="AX91" s="8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O91" s="85"/>
      <c r="BS91" s="4"/>
      <c r="BT91" t="s">
        <v>165</v>
      </c>
    </row>
    <row r="92" spans="1:74">
      <c r="A92" s="7" t="s">
        <v>166</v>
      </c>
      <c r="B92" s="373">
        <v>99683.21</v>
      </c>
      <c r="C92" s="375">
        <f>SUM(E92:AV92)</f>
        <v>112249.91005890106</v>
      </c>
      <c r="D92" s="375">
        <v>55285.71</v>
      </c>
      <c r="E92" s="8">
        <f>$B$92*'2026 Labor Alloc $$'!AX78-15.09</f>
        <v>1473.1613597935591</v>
      </c>
      <c r="F92" s="8">
        <f>$B$92*'2026 Labor Alloc $$'!AY78</f>
        <v>1805.2722698695954</v>
      </c>
      <c r="G92" s="8">
        <f>$B$92*'2026 Labor Alloc $$'!H78</f>
        <v>12698.712006352807</v>
      </c>
      <c r="H92" s="8">
        <f>$B$92*'2026 Labor Alloc $$'!I78+'51320 Small Equip-Software'!E59+'51320 Small Equip-Software'!$E$66</f>
        <v>10311.022085861241</v>
      </c>
      <c r="I92" s="8">
        <f>$B$92*'2026 Labor Alloc $$'!J78</f>
        <v>1793.1399380835117</v>
      </c>
      <c r="J92" s="8">
        <f>$B$92*'2026 Labor Alloc $$'!K78+'51320 Small Equip-Software'!$E$59+'51320 Small Equip-Software'!$E$66</f>
        <v>3545.9472669670026</v>
      </c>
      <c r="K92" s="8">
        <f>$B$92*'2026 Labor Alloc $$'!L78</f>
        <v>884.79528107799842</v>
      </c>
      <c r="L92" s="8">
        <f>$B$92*'2026 Labor Alloc $$'!M78+'51320 Small Equip-Software'!$C$61+'51320 Small Equip-Software'!$C$65</f>
        <v>4901.9742436669394</v>
      </c>
      <c r="M92" s="8">
        <f>$B$92*'2026 Labor Alloc $$'!N78</f>
        <v>4402.3182348238679</v>
      </c>
      <c r="N92" s="8">
        <f>$B$92*'2026 Labor Alloc $$'!O78+'51320 Small Equip-Software'!$E$59+'51320 Small Equip-Software'!$E$66</f>
        <v>12857.663417366062</v>
      </c>
      <c r="O92" s="8">
        <f>$B$92*'2026 Labor Alloc $$'!P78</f>
        <v>3338.7360559588583</v>
      </c>
      <c r="P92" s="8">
        <f>$B$92*'2026 Labor Alloc $$'!Q78</f>
        <v>356.8347720397976</v>
      </c>
      <c r="Q92" s="8">
        <f>$B$92*'2026 Labor Alloc $$'!R78</f>
        <v>2879.4995232724104</v>
      </c>
      <c r="R92" s="8">
        <f>$B$92*'2026 Labor Alloc $$'!S78</f>
        <v>5155.3538867403749</v>
      </c>
      <c r="S92" s="8">
        <f>$B$92*'2026 Labor Alloc $$'!T78</f>
        <v>1933.6226692304565</v>
      </c>
      <c r="T92" s="8">
        <f>$B$92*'2026 Labor Alloc $$'!U78</f>
        <v>325.85204203756552</v>
      </c>
      <c r="U92" s="8">
        <f>$B$92*'2026 Labor Alloc $$'!V78</f>
        <v>1433.7854218681314</v>
      </c>
      <c r="V92" s="8">
        <f>$B$92*'2026 Labor Alloc $$'!W78</f>
        <v>1089.6262337669732</v>
      </c>
      <c r="W92" s="8">
        <f>$B$92*'2026 Labor Alloc $$'!X78</f>
        <v>1252.9150254041824</v>
      </c>
      <c r="X92" s="8">
        <f>$B$92*'2026 Labor Alloc $$'!Y78+'51320 Small Equip-Software'!$E$59+'51320 Small Equip-Software'!$E$66</f>
        <v>4253.602120015028</v>
      </c>
      <c r="Y92" s="8">
        <f>$B$92*'2026 Labor Alloc $$'!Z78</f>
        <v>540.26921556912282</v>
      </c>
      <c r="Z92" s="8">
        <f>$B$92*'2026 Labor Alloc $$'!AA78</f>
        <v>1037.8328745126908</v>
      </c>
      <c r="AA92" s="8">
        <f>$B$92*'2026 Labor Alloc $$'!AB78</f>
        <v>408.88373592723946</v>
      </c>
      <c r="AB92" s="8">
        <f>$B$92*'2026 Labor Alloc $$'!AC78+'51320 Small Equip-Software'!$E$59+'51320 Small Equip-Software'!$E$66-119.89</f>
        <v>7670.543984730276</v>
      </c>
      <c r="AC92" s="8">
        <f>$B$92*'2026 Labor Alloc $$'!AD78-398.88</f>
        <v>234.73897639495749</v>
      </c>
      <c r="AD92" s="8">
        <f>$B$92*'2026 Labor Alloc $$'!AE78+398.88</f>
        <v>554.72228097448783</v>
      </c>
      <c r="AE92" s="8">
        <f>$B$92*'2026 Labor Alloc $$'!AF78</f>
        <v>184.08471210817029</v>
      </c>
      <c r="AF92" s="8">
        <f>$B$92*'2026 Labor Alloc $$'!AG78</f>
        <v>85.004880531538831</v>
      </c>
      <c r="AG92" s="8">
        <f>$B$92*'2026 Labor Alloc $$'!AH78+'51320 Small Equip-Software'!$E$64</f>
        <v>7711.2248779289475</v>
      </c>
      <c r="AH92" s="8">
        <f>$B$92*'2026 Labor Alloc $$'!AI78+'51320 Small Equip-Software'!$E$64</f>
        <v>4931.2732268568816</v>
      </c>
      <c r="AI92" s="8">
        <f>$B$92*'2026 Labor Alloc $$'!AJ78</f>
        <v>761.64321349838929</v>
      </c>
      <c r="AJ92" s="8">
        <f>$B$92*'2026 Labor Alloc $$'!AK78</f>
        <v>0</v>
      </c>
      <c r="AK92" s="8">
        <f>$B$92*'2026 Labor Alloc $$'!AL78</f>
        <v>55.653982206445214</v>
      </c>
      <c r="AL92" s="8">
        <f>$B$92*'2026 Labor Alloc $$'!AM78</f>
        <v>77.915575089023292</v>
      </c>
      <c r="AM92" s="8">
        <f>$B$92*'2026 Labor Alloc $$'!AN78</f>
        <v>222.61592882578086</v>
      </c>
      <c r="AN92" s="8">
        <f>$B$92*'2026 Labor Alloc $$'!AO78+373.4</f>
        <v>462.44637153031232</v>
      </c>
      <c r="AO92" s="8">
        <f>$B$92*'2026 Labor Alloc $$'!AP78</f>
        <v>0</v>
      </c>
      <c r="AP92" s="8">
        <f>$B$92*'2026 Labor Alloc $$'!AQ78</f>
        <v>0</v>
      </c>
      <c r="AQ92" s="8">
        <f>$B$92*'2026 Labor Alloc $$'!AR78</f>
        <v>0</v>
      </c>
      <c r="AR92" s="8">
        <f>$B$92*'2026 Labor Alloc $$'!AS78</f>
        <v>2056.3447792493162</v>
      </c>
      <c r="AS92" s="8">
        <f>$B$92*'2026 Labor Alloc $$'!AT78</f>
        <v>552.63119895892021</v>
      </c>
      <c r="AT92" s="8">
        <f>$B$92*'2026 Labor Alloc $$'!AU78</f>
        <v>5769.0084157358579</v>
      </c>
      <c r="AU92" s="8">
        <f>$B$92*'2026 Labor Alloc $$'!AV78</f>
        <v>2239.2379740763226</v>
      </c>
      <c r="AV92" s="8">
        <f>$B$92*'2026 Labor Alloc $$'!AW78</f>
        <v>0</v>
      </c>
      <c r="AW92" s="364"/>
      <c r="AX92" s="8">
        <f t="shared" si="46"/>
        <v>0</v>
      </c>
      <c r="AY92" s="8">
        <f>'June 2024 YTD'!BI174*2</f>
        <v>0</v>
      </c>
      <c r="AZ92" s="8">
        <f>'June 2024 YTD'!BJ174*2</f>
        <v>0</v>
      </c>
      <c r="BA92" s="8">
        <f>'June 2024 YTD'!BK174*2</f>
        <v>0</v>
      </c>
      <c r="BB92" s="8">
        <f>'June 2024 YTD'!BL174*2</f>
        <v>0</v>
      </c>
      <c r="BC92" s="8">
        <f>'June 2024 YTD'!BM174*2</f>
        <v>0</v>
      </c>
      <c r="BD92" s="8">
        <f>'June 2024 YTD'!BN174*2</f>
        <v>0</v>
      </c>
      <c r="BE92" s="8">
        <f>'June 2024 YTD'!BO174*2</f>
        <v>0</v>
      </c>
      <c r="BF92" s="8">
        <f>'June 2024 YTD'!BP174*2</f>
        <v>0</v>
      </c>
      <c r="BG92" s="8">
        <f>'June 2024 YTD'!BQ174*2</f>
        <v>0</v>
      </c>
      <c r="BH92" s="8">
        <f>'June 2024 YTD'!BR174*2</f>
        <v>0</v>
      </c>
      <c r="BI92" s="8">
        <f>'June 2024 YTD'!BS174*2</f>
        <v>0</v>
      </c>
      <c r="BJ92" s="8">
        <f>'June 2024 YTD'!BT174*2</f>
        <v>0</v>
      </c>
      <c r="BK92" s="8">
        <f>'June 2024 YTD'!BU174*2</f>
        <v>0</v>
      </c>
      <c r="BL92" s="8">
        <f>'June 2024 YTD'!BV174*2</f>
        <v>0</v>
      </c>
      <c r="BM92" s="8">
        <f>SUM(B92:BL92)</f>
        <v>379468.74011780211</v>
      </c>
      <c r="BN92">
        <v>0</v>
      </c>
      <c r="BO92" s="85">
        <f>BM92-BN92</f>
        <v>379468.74011780211</v>
      </c>
      <c r="BP92" s="119"/>
      <c r="BS92" s="8" t="e">
        <f>SUM(B92:BL92)-#REF!-AV92-AP92-SUM(AY92:BL92)</f>
        <v>#REF!</v>
      </c>
      <c r="BT92" t="s">
        <v>166</v>
      </c>
    </row>
    <row r="93" spans="1:74">
      <c r="A93" s="7" t="s">
        <v>167</v>
      </c>
      <c r="B93" s="373">
        <v>28350</v>
      </c>
      <c r="C93" s="375">
        <f>SUM(E93:AV93)</f>
        <v>29605.380740919125</v>
      </c>
      <c r="D93" s="375">
        <v>95462.66</v>
      </c>
      <c r="E93" s="8">
        <v>1600</v>
      </c>
      <c r="F93" s="8">
        <f>$B$93*'2026 Labor Alloc $$'!AY78</f>
        <v>513.42115538617816</v>
      </c>
      <c r="G93" s="8">
        <f>$B$93*'2026 Labor Alloc $$'!H78</f>
        <v>3611.525806403125</v>
      </c>
      <c r="H93" s="8">
        <f>$B$93*'2026 Labor Alloc $$'!I78</f>
        <v>2565.5872853027722</v>
      </c>
      <c r="I93" s="8">
        <f>$B$93*'2026 Labor Alloc $$'!J78</f>
        <v>509.97070865462251</v>
      </c>
      <c r="J93" s="8">
        <f>$B$93*'2026 Labor Alloc $$'!K78</f>
        <v>641.59355440614843</v>
      </c>
      <c r="K93" s="8">
        <f>$B$93*'2026 Labor Alloc $$'!L78</f>
        <v>251.63662183993927</v>
      </c>
      <c r="L93" s="8">
        <f>$B$93*'2026 Labor Alloc $$'!M78</f>
        <v>717.25188031121513</v>
      </c>
      <c r="M93" s="8">
        <f>$B$93*'2026 Labor Alloc $$'!N78</f>
        <v>1252.0235048335287</v>
      </c>
      <c r="N93" s="8">
        <f>$B$93*'2026 Labor Alloc $$'!O78</f>
        <v>3289.8545089220925</v>
      </c>
      <c r="O93" s="8">
        <f>$B$93*'2026 Labor Alloc $$'!P78</f>
        <v>949.53971873933062</v>
      </c>
      <c r="P93" s="8">
        <f>$B$93*'2026 Labor Alloc $$'!Q78+80.93</f>
        <v>182.41414951051698</v>
      </c>
      <c r="Q93" s="8">
        <f>$B$93*'2026 Labor Alloc $$'!R78</f>
        <v>818.93241083200303</v>
      </c>
      <c r="R93" s="8">
        <f>$B$93*'2026 Labor Alloc $$'!S78</f>
        <v>1466.1875624700451</v>
      </c>
      <c r="S93" s="8">
        <f>$B$93*'2026 Labor Alloc $$'!T78</f>
        <v>549.92413138264146</v>
      </c>
      <c r="T93" s="8">
        <f>$B$93*'2026 Labor Alloc $$'!U78</f>
        <v>92.672631547127963</v>
      </c>
      <c r="U93" s="8">
        <f>$B$93*'2026 Labor Alloc $$'!V78</f>
        <v>407.76994149728444</v>
      </c>
      <c r="V93" s="8">
        <f>$B$93*'2026 Labor Alloc $$'!W78</f>
        <v>309.89074014865383</v>
      </c>
      <c r="W93" s="8">
        <f>$B$93*'2026 Labor Alloc $$'!X78</f>
        <v>356.33022823210217</v>
      </c>
      <c r="X93" s="8">
        <f>$B$93*'2026 Labor Alloc $$'!Y78</f>
        <v>842.85126956110321</v>
      </c>
      <c r="Y93" s="8">
        <f>$B$93*'2026 Labor Alloc $$'!Z78</f>
        <v>153.65308020663289</v>
      </c>
      <c r="Z93" s="8">
        <f>$B$93*'2026 Labor Alloc $$'!AA78</f>
        <v>295.16065937718878</v>
      </c>
      <c r="AA93" s="8">
        <f>$B$93*'2026 Labor Alloc $$'!AB78</f>
        <v>116.28692448344347</v>
      </c>
      <c r="AB93" s="8">
        <f>$B$93*'2026 Labor Alloc $$'!AC78</f>
        <v>1848.7296252508654</v>
      </c>
      <c r="AC93" s="8">
        <f>$B$93*'2026 Labor Alloc $$'!AD78-1.8</f>
        <v>178.40184122077372</v>
      </c>
      <c r="AD93" s="8">
        <f>$B$93*'2026 Labor Alloc $$'!AE78</f>
        <v>44.321693348626418</v>
      </c>
      <c r="AE93" s="8">
        <f>$B$93*'2026 Labor Alloc $$'!AF78</f>
        <v>52.353867700153593</v>
      </c>
      <c r="AF93" s="8">
        <f>$B$93*'2026 Labor Alloc $$'!AG78</f>
        <v>24.175469099250773</v>
      </c>
      <c r="AG93" s="8">
        <f>$B$93*'2026 Labor Alloc $$'!AH78</f>
        <v>1695.3780409889052</v>
      </c>
      <c r="AH93" s="8">
        <f>$B$93*'2026 Labor Alloc $$'!AI78</f>
        <v>904.75713995759759</v>
      </c>
      <c r="AI93" s="8">
        <f>$B$93*'2026 Labor Alloc $$'!AJ78</f>
        <v>216.61205636013662</v>
      </c>
      <c r="AJ93" s="8">
        <f>$B$93*'2026 Labor Alloc $$'!AK78</f>
        <v>0</v>
      </c>
      <c r="AK93" s="8">
        <f>$B$93*'2026 Labor Alloc $$'!AL78</f>
        <v>15.828045621250777</v>
      </c>
      <c r="AL93" s="8">
        <f>$B$93*'2026 Labor Alloc $$'!AM78</f>
        <v>22.159263869751086</v>
      </c>
      <c r="AM93" s="8">
        <f>$B$93*'2026 Labor Alloc $$'!AN78</f>
        <v>63.312182485003106</v>
      </c>
      <c r="AN93" s="8">
        <f>$B$93*'2026 Labor Alloc $$'!AO78</f>
        <v>25.324872994001243</v>
      </c>
      <c r="AO93" s="8">
        <f>$B$93*'2026 Labor Alloc $$'!AP78</f>
        <v>0</v>
      </c>
      <c r="AP93" s="8">
        <f>$B$93*'2026 Labor Alloc $$'!AQ78</f>
        <v>0</v>
      </c>
      <c r="AQ93" s="8">
        <f>$B$93*'2026 Labor Alloc $$'!AR78</f>
        <v>0</v>
      </c>
      <c r="AR93" s="8">
        <f>$B$93*'2026 Labor Alloc $$'!AS78</f>
        <v>584.82641652208144</v>
      </c>
      <c r="AS93" s="8">
        <f>$B$93*'2026 Labor Alloc $$'!AT78</f>
        <v>157.16884007332214</v>
      </c>
      <c r="AT93" s="8">
        <f>$B$93*'2026 Labor Alloc $$'!AU78</f>
        <v>1640.7114958086879</v>
      </c>
      <c r="AU93" s="8">
        <f>$B$93*'2026 Labor Alloc $$'!AV78</f>
        <v>636.84141557102487</v>
      </c>
      <c r="AV93" s="8">
        <f>$B$93*'2026 Labor Alloc $$'!AW78</f>
        <v>0</v>
      </c>
      <c r="AW93" s="364"/>
      <c r="AX93" s="8">
        <f t="shared" si="46"/>
        <v>0</v>
      </c>
      <c r="AY93" s="8">
        <f>'June 2024 YTD'!BI189*2</f>
        <v>0</v>
      </c>
      <c r="AZ93" s="8">
        <f>'June 2024 YTD'!BJ189*2</f>
        <v>0</v>
      </c>
      <c r="BA93" s="8">
        <f>'June 2024 YTD'!BK189*2</f>
        <v>0</v>
      </c>
      <c r="BB93" s="8">
        <f>'June 2024 YTD'!BL189*2</f>
        <v>0</v>
      </c>
      <c r="BC93" s="8">
        <f>'June 2024 YTD'!BM189*2</f>
        <v>0</v>
      </c>
      <c r="BD93" s="8">
        <f>'June 2024 YTD'!BN189*2</f>
        <v>0</v>
      </c>
      <c r="BE93" s="8">
        <f>'June 2024 YTD'!BO189*2</f>
        <v>0</v>
      </c>
      <c r="BF93" s="8">
        <f>'June 2024 YTD'!BP189*2</f>
        <v>0</v>
      </c>
      <c r="BG93" s="8">
        <f>'June 2024 YTD'!BQ189*2</f>
        <v>0</v>
      </c>
      <c r="BH93" s="8">
        <f>'June 2024 YTD'!BR189*2</f>
        <v>0</v>
      </c>
      <c r="BI93" s="8">
        <f>'June 2024 YTD'!BS189*2</f>
        <v>0</v>
      </c>
      <c r="BJ93" s="8">
        <f>'June 2024 YTD'!BT189*2</f>
        <v>0</v>
      </c>
      <c r="BK93" s="8">
        <f>'June 2024 YTD'!BU189*2</f>
        <v>0</v>
      </c>
      <c r="BL93" s="8">
        <f>'June 2024 YTD'!BV189*2</f>
        <v>0</v>
      </c>
      <c r="BM93" s="8">
        <f>SUM(B93:BL93)</f>
        <v>183023.42148183819</v>
      </c>
      <c r="BN93">
        <v>0</v>
      </c>
      <c r="BO93" s="85">
        <f>BM93-BN93</f>
        <v>183023.42148183819</v>
      </c>
      <c r="BP93" s="119"/>
      <c r="BS93" s="8" t="e">
        <f>SUM(B93:BL93)-#REF!-AV93-AP93-SUM(AY93:BL93)</f>
        <v>#REF!</v>
      </c>
      <c r="BT93" t="s">
        <v>167</v>
      </c>
    </row>
    <row r="94" spans="1:74">
      <c r="A94" s="9" t="s">
        <v>168</v>
      </c>
      <c r="B94" s="374">
        <f t="shared" ref="B94:BC94" si="161">SUM(B92:B93)</f>
        <v>128033.21</v>
      </c>
      <c r="C94" s="377">
        <f t="shared" si="161"/>
        <v>141855.29079982018</v>
      </c>
      <c r="D94" s="378">
        <f>SUM(D92:D93)</f>
        <v>150748.37</v>
      </c>
      <c r="E94" s="10">
        <f>SUM(E92:E93)</f>
        <v>3073.1613597935593</v>
      </c>
      <c r="F94" s="10">
        <f>SUM(F92:F93)</f>
        <v>2318.6934252557735</v>
      </c>
      <c r="G94" s="10">
        <f t="shared" si="161"/>
        <v>16310.237812755931</v>
      </c>
      <c r="H94" s="10">
        <f t="shared" si="161"/>
        <v>12876.609371164013</v>
      </c>
      <c r="I94" s="10">
        <f t="shared" si="161"/>
        <v>2303.1106467381342</v>
      </c>
      <c r="J94" s="10">
        <f t="shared" si="161"/>
        <v>4187.5408213731507</v>
      </c>
      <c r="K94" s="10">
        <f t="shared" si="161"/>
        <v>1136.4319029179378</v>
      </c>
      <c r="L94" s="10">
        <f t="shared" si="161"/>
        <v>5619.2261239781546</v>
      </c>
      <c r="M94" s="10">
        <f t="shared" si="161"/>
        <v>5654.3417396573968</v>
      </c>
      <c r="N94" s="10">
        <f t="shared" si="161"/>
        <v>16147.517926288154</v>
      </c>
      <c r="O94" s="10">
        <f t="shared" si="161"/>
        <v>4288.2757746981888</v>
      </c>
      <c r="P94" s="10">
        <f t="shared" si="161"/>
        <v>539.24892155031455</v>
      </c>
      <c r="Q94" s="10">
        <f t="shared" si="161"/>
        <v>3698.4319341044134</v>
      </c>
      <c r="R94" s="10">
        <f t="shared" si="161"/>
        <v>6621.5414492104201</v>
      </c>
      <c r="S94" s="10">
        <f t="shared" si="161"/>
        <v>2483.5468006130977</v>
      </c>
      <c r="T94" s="10">
        <f t="shared" si="161"/>
        <v>418.52467358469346</v>
      </c>
      <c r="U94" s="10">
        <f t="shared" si="161"/>
        <v>1841.5553633654158</v>
      </c>
      <c r="V94" s="10">
        <f t="shared" si="161"/>
        <v>1399.516973915627</v>
      </c>
      <c r="W94" s="10">
        <f t="shared" si="161"/>
        <v>1609.2452536362846</v>
      </c>
      <c r="X94" s="10">
        <f t="shared" si="161"/>
        <v>5096.4533895761315</v>
      </c>
      <c r="Y94" s="10">
        <f t="shared" si="161"/>
        <v>693.92229577575574</v>
      </c>
      <c r="Z94" s="10">
        <f t="shared" si="161"/>
        <v>1332.9935338898795</v>
      </c>
      <c r="AA94" s="10">
        <f t="shared" si="161"/>
        <v>525.1706604106829</v>
      </c>
      <c r="AB94" s="10">
        <f t="shared" si="161"/>
        <v>9519.2736099811409</v>
      </c>
      <c r="AC94" s="10">
        <f t="shared" ref="AC94:AD94" si="162">SUM(AC92:AC93)</f>
        <v>413.14081761573118</v>
      </c>
      <c r="AD94" s="10">
        <f t="shared" si="162"/>
        <v>599.0439743231143</v>
      </c>
      <c r="AE94" s="10">
        <f t="shared" si="161"/>
        <v>236.43857980832388</v>
      </c>
      <c r="AF94" s="10">
        <f t="shared" si="161"/>
        <v>109.18034963078961</v>
      </c>
      <c r="AG94" s="10">
        <f t="shared" ref="AG94:AH94" si="163">SUM(AG92:AG93)</f>
        <v>9406.6029189178535</v>
      </c>
      <c r="AH94" s="10">
        <f t="shared" si="163"/>
        <v>5836.0303668144788</v>
      </c>
      <c r="AI94" s="10">
        <f t="shared" ref="AI94" si="164">SUM(AI92:AI93)</f>
        <v>978.25526985852593</v>
      </c>
      <c r="AJ94" s="10">
        <f t="shared" ref="AJ94:AO94" si="165">SUM(AJ92:AJ93)</f>
        <v>0</v>
      </c>
      <c r="AK94" s="10">
        <f t="shared" si="165"/>
        <v>71.482027827695987</v>
      </c>
      <c r="AL94" s="10">
        <f t="shared" si="165"/>
        <v>100.07483895877438</v>
      </c>
      <c r="AM94" s="10">
        <f t="shared" si="165"/>
        <v>285.92811131078395</v>
      </c>
      <c r="AN94" s="10">
        <f t="shared" si="165"/>
        <v>487.77124452431354</v>
      </c>
      <c r="AO94" s="10">
        <f t="shared" si="165"/>
        <v>0</v>
      </c>
      <c r="AP94" s="10">
        <f t="shared" si="161"/>
        <v>0</v>
      </c>
      <c r="AQ94" s="10">
        <f t="shared" si="161"/>
        <v>0</v>
      </c>
      <c r="AR94" s="10">
        <f t="shared" si="161"/>
        <v>2641.1711957713978</v>
      </c>
      <c r="AS94" s="10">
        <f t="shared" si="161"/>
        <v>709.80003903224235</v>
      </c>
      <c r="AT94" s="10">
        <f t="shared" si="161"/>
        <v>7409.7199115445455</v>
      </c>
      <c r="AU94" s="10">
        <f t="shared" si="161"/>
        <v>2876.0793896473474</v>
      </c>
      <c r="AV94" s="10">
        <f t="shared" si="161"/>
        <v>0</v>
      </c>
      <c r="AW94" s="366"/>
      <c r="AX94" s="4">
        <f t="shared" si="46"/>
        <v>0</v>
      </c>
      <c r="AY94" s="10">
        <f t="shared" si="161"/>
        <v>0</v>
      </c>
      <c r="AZ94" s="10">
        <f t="shared" si="161"/>
        <v>0</v>
      </c>
      <c r="BA94" s="10">
        <f t="shared" si="161"/>
        <v>0</v>
      </c>
      <c r="BB94" s="10">
        <f t="shared" si="161"/>
        <v>0</v>
      </c>
      <c r="BC94" s="10">
        <f t="shared" si="161"/>
        <v>0</v>
      </c>
      <c r="BD94" s="10">
        <f t="shared" ref="BD94:BM94" si="166">SUM(BD92:BD93)</f>
        <v>0</v>
      </c>
      <c r="BE94" s="10">
        <f t="shared" si="166"/>
        <v>0</v>
      </c>
      <c r="BF94" s="10">
        <f t="shared" si="166"/>
        <v>0</v>
      </c>
      <c r="BG94" s="10">
        <f t="shared" si="166"/>
        <v>0</v>
      </c>
      <c r="BH94" s="10">
        <f t="shared" si="166"/>
        <v>0</v>
      </c>
      <c r="BI94" s="10">
        <f t="shared" si="166"/>
        <v>0</v>
      </c>
      <c r="BJ94" s="10">
        <f t="shared" si="166"/>
        <v>0</v>
      </c>
      <c r="BK94" s="10">
        <f t="shared" si="166"/>
        <v>0</v>
      </c>
      <c r="BL94" s="10">
        <f t="shared" si="166"/>
        <v>0</v>
      </c>
      <c r="BM94" s="10">
        <f t="shared" si="166"/>
        <v>562492.16159964027</v>
      </c>
      <c r="BN94" s="10">
        <v>0</v>
      </c>
      <c r="BO94" s="114">
        <f>BM94-BN94</f>
        <v>562492.16159964027</v>
      </c>
      <c r="BS94" s="10" t="e">
        <f t="shared" ref="BS94" si="167">SUM(BS92:BS93)</f>
        <v>#REF!</v>
      </c>
      <c r="BT94" t="s">
        <v>168</v>
      </c>
    </row>
    <row r="95" spans="1:74">
      <c r="A95" s="6" t="s">
        <v>169</v>
      </c>
      <c r="B95" s="19"/>
      <c r="C95" s="82"/>
      <c r="D95" s="82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366"/>
      <c r="AX95" s="8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O95" s="85"/>
      <c r="BS95" s="4"/>
      <c r="BT95" t="s">
        <v>169</v>
      </c>
    </row>
    <row r="96" spans="1:74">
      <c r="A96" s="7" t="s">
        <v>170</v>
      </c>
      <c r="B96" s="285">
        <v>72214.81</v>
      </c>
      <c r="C96" s="375">
        <f>SUM(E96:AV96)</f>
        <v>72214.81</v>
      </c>
      <c r="D96" s="375">
        <v>68658.95</v>
      </c>
      <c r="E96" s="8">
        <f>1200+515</f>
        <v>1715</v>
      </c>
      <c r="F96" s="8">
        <v>0</v>
      </c>
      <c r="G96" s="8">
        <f>'51320 Small Equip-Software'!D42+'51320 Small Equip-Software'!L37+1000+10000</f>
        <v>27499.91</v>
      </c>
      <c r="H96" s="8">
        <f>'51320 Small Equip-Software'!D41+'51320 Small Equip-Software'!L38+500</f>
        <v>9999.98</v>
      </c>
      <c r="I96" s="8">
        <f>'51320 Small Equip-Software'!L44</f>
        <v>1500</v>
      </c>
      <c r="J96" s="8">
        <f>'June 2025 YTD'!F94*2+500</f>
        <v>500</v>
      </c>
      <c r="K96" s="8">
        <f>'51320 Small Equip-Software'!D47</f>
        <v>999.99</v>
      </c>
      <c r="L96" s="8">
        <f>'51320 Small Equip-Software'!D43+'51320 Small Equip-Software'!L40+1000</f>
        <v>3499.99</v>
      </c>
      <c r="M96" s="8">
        <f>'51320 Small Equip-Software'!L43</f>
        <v>1500</v>
      </c>
      <c r="N96" s="8">
        <f>'51320 Small Equip-Software'!D44+'51320 Small Equip-Software'!L42</f>
        <v>8999.9699999999993</v>
      </c>
      <c r="O96" s="8">
        <f>'51320 Small Equip-Software'!L46</f>
        <v>1500</v>
      </c>
      <c r="P96" s="8">
        <f>'51320 Small Equip-Software'!D45+'51320 Small Equip-Software'!L41</f>
        <v>2499.9899999999998</v>
      </c>
      <c r="Q96" s="8">
        <f>1500+500</f>
        <v>2000</v>
      </c>
      <c r="R96" s="8">
        <f>'51320 Small Equip-Software'!D46</f>
        <v>1999.98</v>
      </c>
      <c r="S96" s="8">
        <f>1500+1000</f>
        <v>2500</v>
      </c>
      <c r="T96" s="8">
        <v>0</v>
      </c>
      <c r="U96" s="8">
        <f>'June 2025 YTD'!Q94*2</f>
        <v>0</v>
      </c>
      <c r="V96" s="8">
        <f>'June 2025 YTD'!R94*2</f>
        <v>0</v>
      </c>
      <c r="W96" s="8">
        <f>'June 2025 YTD'!S94*2</f>
        <v>0</v>
      </c>
      <c r="X96" s="8">
        <v>1500</v>
      </c>
      <c r="Y96" s="8">
        <f>'June 2025 YTD'!U94*2</f>
        <v>0</v>
      </c>
      <c r="Z96" s="8">
        <v>0</v>
      </c>
      <c r="AA96" s="8">
        <f>'June 2025 YTD'!W94*2</f>
        <v>0</v>
      </c>
      <c r="AB96" s="8">
        <v>2000</v>
      </c>
      <c r="AC96" s="8">
        <f>'June 2025 YTD'!Y94*2</f>
        <v>0</v>
      </c>
      <c r="AD96" s="8">
        <f>'June 2025 YTD'!Z94*2</f>
        <v>0</v>
      </c>
      <c r="AE96" s="8">
        <f>'June 2025 YTD'!AA94*2</f>
        <v>0</v>
      </c>
      <c r="AF96" s="8">
        <f>'June 2025 YTD'!AB94*2</f>
        <v>0</v>
      </c>
      <c r="AG96" s="8">
        <v>1000</v>
      </c>
      <c r="AH96" s="8">
        <v>1000</v>
      </c>
      <c r="AI96" s="8">
        <f>'51320 Small Equip-Software'!H39</f>
        <v>0</v>
      </c>
      <c r="AJ96" s="8">
        <f>'June 2025 YTD'!AE94*2</f>
        <v>0</v>
      </c>
      <c r="AK96" s="8">
        <f>'June 2025 YTD'!AL94*2</f>
        <v>0</v>
      </c>
      <c r="AL96" s="8">
        <f>'June 2025 YTD'!AM94*2</f>
        <v>0</v>
      </c>
      <c r="AM96" s="8">
        <f>'June 2025 YTD'!AO94*2</f>
        <v>0</v>
      </c>
      <c r="AN96" s="8">
        <f>'June 2025 YTD'!AN94*2</f>
        <v>0</v>
      </c>
      <c r="AO96" s="8">
        <f>'June 2025 YTD'!AO94*2</f>
        <v>0</v>
      </c>
      <c r="AP96" s="8">
        <f>'June 2025 YTD'!AM94*2</f>
        <v>0</v>
      </c>
      <c r="AQ96" s="8">
        <f>'June 2025 YTD'!AN94*2</f>
        <v>0</v>
      </c>
      <c r="AR96" s="8">
        <f>'June 2025 YTD'!AO94*2</f>
        <v>0</v>
      </c>
      <c r="AS96" s="8">
        <v>0</v>
      </c>
      <c r="AT96" s="8">
        <f>'June 2025 YTD'!AQ94*2</f>
        <v>0</v>
      </c>
      <c r="AU96" s="8">
        <f>'June 2025 YTD'!AR94*2</f>
        <v>0</v>
      </c>
      <c r="AV96" s="8">
        <f>'June 2025 YTD'!AS94*2</f>
        <v>0</v>
      </c>
      <c r="AW96" s="364"/>
      <c r="AX96" s="8">
        <f t="shared" si="46"/>
        <v>0</v>
      </c>
      <c r="AY96" s="8">
        <f>'June 2024 YTD'!BI93*2</f>
        <v>0</v>
      </c>
      <c r="AZ96" s="8">
        <f>'June 2024 YTD'!BJ93*2</f>
        <v>0</v>
      </c>
      <c r="BA96" s="8">
        <f>'June 2024 YTD'!BK93*2</f>
        <v>0</v>
      </c>
      <c r="BB96" s="8">
        <f>'June 2024 YTD'!BL93*2</f>
        <v>0</v>
      </c>
      <c r="BC96" s="8">
        <f>'June 2024 YTD'!BM93*2</f>
        <v>0</v>
      </c>
      <c r="BD96" s="8">
        <f>'June 2024 YTD'!BN93*2</f>
        <v>0</v>
      </c>
      <c r="BE96" s="8">
        <f>'June 2024 YTD'!BO93*2</f>
        <v>0</v>
      </c>
      <c r="BF96" s="8">
        <f>'June 2024 YTD'!BP93*2</f>
        <v>0</v>
      </c>
      <c r="BG96" s="8">
        <f>'June 2024 YTD'!BQ93*2</f>
        <v>0</v>
      </c>
      <c r="BH96" s="8">
        <f>'June 2024 YTD'!BR93*2</f>
        <v>0</v>
      </c>
      <c r="BI96" s="8">
        <f>'June 2024 YTD'!BS93*2</f>
        <v>0</v>
      </c>
      <c r="BJ96" s="8">
        <f>'June 2024 YTD'!BT93*2</f>
        <v>0</v>
      </c>
      <c r="BK96" s="8">
        <f>'June 2024 YTD'!BU93*2</f>
        <v>0</v>
      </c>
      <c r="BL96" s="8">
        <f>'June 2024 YTD'!BV93*2</f>
        <v>0</v>
      </c>
      <c r="BM96" s="8">
        <f>SUM(B96:BL96)</f>
        <v>285303.37999999995</v>
      </c>
      <c r="BN96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96" s="85" t="e">
        <f>BM96-BN96</f>
        <v>#REF!</v>
      </c>
      <c r="BP96" s="184"/>
      <c r="BQ96" s="21"/>
      <c r="BS96" s="8" t="e">
        <f>SUM(B96:BL96)-#REF!-AV96-AP96-SUM(AY96:BL96)</f>
        <v>#REF!</v>
      </c>
      <c r="BT96" t="s">
        <v>170</v>
      </c>
    </row>
    <row r="97" spans="1:72">
      <c r="A97" s="7" t="s">
        <v>631</v>
      </c>
      <c r="B97" s="285">
        <v>38000</v>
      </c>
      <c r="C97" s="375">
        <f t="shared" ref="C97:C98" si="168">SUM(E97:AV97)</f>
        <v>37999.344345333979</v>
      </c>
      <c r="D97" s="375">
        <v>55533.64</v>
      </c>
      <c r="E97" s="380">
        <f>$B$97*'2026 Labor Alloc $$'!AX78</f>
        <v>567.3327702042825</v>
      </c>
      <c r="F97" s="380">
        <f>$B$97*'2026 Labor Alloc $$'!AY78</f>
        <v>688.18355924778723</v>
      </c>
      <c r="G97" s="380">
        <f>$B$97*'2026 Labor Alloc $$'!H78</f>
        <v>4840.8458780712081</v>
      </c>
      <c r="H97" s="380">
        <f>$B$97*'2026 Labor Alloc $$'!I78</f>
        <v>3438.8824282717937</v>
      </c>
      <c r="I97" s="380">
        <f>$B$97*'2026 Labor Alloc $$'!J78</f>
        <v>683.55862182982912</v>
      </c>
      <c r="J97" s="380">
        <f>$B$97*'2026 Labor Alloc $$'!K78</f>
        <v>859.98430572958171</v>
      </c>
      <c r="K97" s="380">
        <f>$B$97*'2026 Labor Alloc $$'!L78</f>
        <v>337.29071005000679</v>
      </c>
      <c r="L97" s="380">
        <f>$B$97*'2026 Labor Alloc $$'!M78</f>
        <v>961.39581840656706</v>
      </c>
      <c r="M97" s="380">
        <f>$B$97*'2026 Labor Alloc $$'!N78</f>
        <v>1678.1972904294212</v>
      </c>
      <c r="N97" s="380">
        <f>$B$97*'2026 Labor Alloc $$'!O78</f>
        <v>4409.6815287139161</v>
      </c>
      <c r="O97" s="380">
        <f>$B$97*'2026 Labor Alloc $$'!P78</f>
        <v>1272.7516512202669</v>
      </c>
      <c r="P97" s="380">
        <f>$B$97*'2026 Labor Alloc $$'!Q78</f>
        <v>136.02813691004039</v>
      </c>
      <c r="Q97" s="380">
        <f>$B$97*'2026 Labor Alloc $$'!R78</f>
        <v>1097.6871820675879</v>
      </c>
      <c r="R97" s="380">
        <f>$B$97*'2026 Labor Alloc $$'!S78</f>
        <v>1965.2602248275737</v>
      </c>
      <c r="S97" s="380">
        <f>$B$97*'2026 Labor Alloc $$'!T78</f>
        <v>737.11171049525126</v>
      </c>
      <c r="T97" s="380">
        <f>$B$97*'2026 Labor Alloc $$'!U78</f>
        <v>124.21728390796694</v>
      </c>
      <c r="U97" s="380">
        <f>$B$97*'2026 Labor Alloc $$'!V78</f>
        <v>546.56993922034599</v>
      </c>
      <c r="V97" s="380">
        <f>$B$97*'2026 Labor Alloc $$'!W78</f>
        <v>415.37383159255188</v>
      </c>
      <c r="W97" s="380">
        <f>$B$97*'2026 Labor Alloc $$'!X78</f>
        <v>477.62076447336443</v>
      </c>
      <c r="X97" s="380">
        <f>$B$97*'2026 Labor Alloc $$'!Y78</f>
        <v>1129.7477334505088</v>
      </c>
      <c r="Y97" s="380">
        <f>$B$97*'2026 Labor Alloc $$'!Z78</f>
        <v>205.95474595598063</v>
      </c>
      <c r="Z97" s="380">
        <f>$B$97*'2026 Labor Alloc $$'!AA78</f>
        <v>395.62980798353351</v>
      </c>
      <c r="AA97" s="380">
        <f>$B$97*'2026 Labor Alloc $$'!AB78</f>
        <v>155.86959895488013</v>
      </c>
      <c r="AB97" s="380">
        <f>$B$97*'2026 Labor Alloc $$'!AC78</f>
        <v>2478.0150179729412</v>
      </c>
      <c r="AC97" s="380">
        <f>$B$97*'2026 Labor Alloc $$'!AD78</f>
        <v>241.54038682149567</v>
      </c>
      <c r="AD97" s="380">
        <f>$B$97*'2026 Labor Alloc $$'!AE78</f>
        <v>59.408266216853747</v>
      </c>
      <c r="AE97" s="380">
        <f>$B$97*'2026 Labor Alloc $$'!AF78</f>
        <v>70.17449638821293</v>
      </c>
      <c r="AF97" s="380">
        <f>$B$97*'2026 Labor Alloc $$'!AG78</f>
        <v>32.404508845556592</v>
      </c>
      <c r="AG97" s="380">
        <f>$B$97*'2026 Labor Alloc $$'!AH78</f>
        <v>2272.4643935653753</v>
      </c>
      <c r="AH97" s="380">
        <f>$B$97*'2026 Labor Alloc $$'!AI78</f>
        <v>1212.7256196962508</v>
      </c>
      <c r="AI97" s="380">
        <f>$B$97*'2026 Labor Alloc $$'!AJ78</f>
        <v>290.34420252857819</v>
      </c>
      <c r="AJ97" s="380">
        <f>$B$97*'2026 Labor Alloc $$'!AK78</f>
        <v>0</v>
      </c>
      <c r="AK97" s="380">
        <f>$B$97*'2026 Labor Alloc $$'!AL78</f>
        <v>21.215722525838785</v>
      </c>
      <c r="AL97" s="380">
        <f>$B$97*'2026 Labor Alloc $$'!AM78</f>
        <v>29.702011536174293</v>
      </c>
      <c r="AM97" s="380">
        <f>$B$97*'2026 Labor Alloc $$'!AN78</f>
        <v>84.862890103355141</v>
      </c>
      <c r="AN97" s="380">
        <f>$B$97*'2026 Labor Alloc $$'!AO78</f>
        <v>33.945156041342052</v>
      </c>
      <c r="AO97" s="380">
        <f>$B$97*'2026 Labor Alloc $$'!AP78</f>
        <v>0</v>
      </c>
      <c r="AP97" s="380">
        <f>$B$97*'2026 Labor Alloc $$'!AQ78</f>
        <v>0</v>
      </c>
      <c r="AQ97" s="380">
        <f>$B$97*'2026 Labor Alloc $$'!AR78</f>
        <v>0</v>
      </c>
      <c r="AR97" s="380">
        <f>$B$97*'2026 Labor Alloc $$'!AS78</f>
        <v>783.8943149149593</v>
      </c>
      <c r="AS97" s="380">
        <f>$B$97*'2026 Labor Alloc $$'!AT78</f>
        <v>210.66722831697501</v>
      </c>
      <c r="AT97" s="380">
        <f>$B$97*'2026 Labor Alloc $$'!AU78</f>
        <v>2199.1900120186997</v>
      </c>
      <c r="AU97" s="380">
        <f>$B$97*'2026 Labor Alloc $$'!AV78</f>
        <v>853.61459582712337</v>
      </c>
      <c r="AV97" s="380">
        <f>$B$97*'2026 Labor Alloc $$'!AW78</f>
        <v>0</v>
      </c>
      <c r="AW97" s="371"/>
      <c r="AX97" s="8">
        <f t="shared" si="46"/>
        <v>0</v>
      </c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>
        <f>SUM(B97:BL97)</f>
        <v>169532.32869066793</v>
      </c>
      <c r="BO97" s="85"/>
      <c r="BP97" s="188"/>
      <c r="BQ97" s="21"/>
      <c r="BS97" s="8"/>
    </row>
    <row r="98" spans="1:72">
      <c r="A98" s="7" t="s">
        <v>171</v>
      </c>
      <c r="B98" s="285">
        <v>11000</v>
      </c>
      <c r="C98" s="375">
        <f t="shared" si="168"/>
        <v>10999.810205228257</v>
      </c>
      <c r="D98" s="375">
        <v>20180.16</v>
      </c>
      <c r="E98" s="8">
        <f>$B$98*'2026 Labor Alloc $$'!AX78</f>
        <v>164.22790716439758</v>
      </c>
      <c r="F98" s="8">
        <f>$B$98*'2026 Labor Alloc $$'!AY78</f>
        <v>199.21103030857</v>
      </c>
      <c r="G98" s="8">
        <f>$B$98*'2026 Labor Alloc $$'!H78</f>
        <v>1401.2974910206128</v>
      </c>
      <c r="H98" s="8">
        <f>$B$98*'2026 Labor Alloc $$'!I78</f>
        <v>995.46596607867707</v>
      </c>
      <c r="I98" s="8">
        <f>$B$98*'2026 Labor Alloc $$'!J78</f>
        <v>197.87223263495054</v>
      </c>
      <c r="J98" s="8">
        <f>$B$98*'2026 Labor Alloc $$'!K78</f>
        <v>248.94282534277363</v>
      </c>
      <c r="K98" s="8">
        <f>$B$98*'2026 Labor Alloc $$'!L78</f>
        <v>97.636784488159861</v>
      </c>
      <c r="L98" s="8">
        <f>$B$98*'2026 Labor Alloc $$'!M78</f>
        <v>278.29878953874311</v>
      </c>
      <c r="M98" s="8">
        <f>$B$98*'2026 Labor Alloc $$'!N78</f>
        <v>485.79395249272716</v>
      </c>
      <c r="N98" s="8">
        <f>$B$98*'2026 Labor Alloc $$'!O78</f>
        <v>1276.486758311923</v>
      </c>
      <c r="O98" s="8">
        <f>$B$98*'2026 Labor Alloc $$'!P78</f>
        <v>368.42810956376144</v>
      </c>
      <c r="P98" s="8">
        <f>$B$98*'2026 Labor Alloc $$'!Q78</f>
        <v>39.376565947643272</v>
      </c>
      <c r="Q98" s="8">
        <f>$B$98*'2026 Labor Alloc $$'!R78</f>
        <v>317.75155270377542</v>
      </c>
      <c r="R98" s="8">
        <f>$B$98*'2026 Labor Alloc $$'!S78</f>
        <v>568.89111771324497</v>
      </c>
      <c r="S98" s="8">
        <f>$B$98*'2026 Labor Alloc $$'!T78</f>
        <v>213.37444251178326</v>
      </c>
      <c r="T98" s="8">
        <f>$B$98*'2026 Labor Alloc $$'!U78</f>
        <v>35.957634815464118</v>
      </c>
      <c r="U98" s="8">
        <f>$B$98*'2026 Labor Alloc $$'!V78</f>
        <v>158.21761398483702</v>
      </c>
      <c r="V98" s="8">
        <f>$B$98*'2026 Labor Alloc $$'!W78</f>
        <v>120.2397933557387</v>
      </c>
      <c r="W98" s="8">
        <f>$B$98*'2026 Labor Alloc $$'!X78</f>
        <v>138.25864234755286</v>
      </c>
      <c r="X98" s="8">
        <f>$B$98*'2026 Labor Alloc $$'!Y78</f>
        <v>327.0322386304104</v>
      </c>
      <c r="Y98" s="8">
        <f>$B$98*'2026 Labor Alloc $$'!Z78</f>
        <v>59.618479092520701</v>
      </c>
      <c r="Z98" s="8">
        <f>$B$98*'2026 Labor Alloc $$'!AA78</f>
        <v>114.52441810049653</v>
      </c>
      <c r="AA98" s="8">
        <f>$B$98*'2026 Labor Alloc $$'!AB78</f>
        <v>45.120147065886357</v>
      </c>
      <c r="AB98" s="8">
        <f>$B$98*'2026 Labor Alloc $$'!AC78</f>
        <v>717.32013678164094</v>
      </c>
      <c r="AC98" s="8">
        <f>$B$98*'2026 Labor Alloc $$'!AD78</f>
        <v>69.919585658854004</v>
      </c>
      <c r="AD98" s="8">
        <f>$B$98*'2026 Labor Alloc $$'!AE78</f>
        <v>17.197129694352402</v>
      </c>
      <c r="AE98" s="8">
        <f>$B$98*'2026 Labor Alloc $$'!AF78</f>
        <v>20.313670007114268</v>
      </c>
      <c r="AF98" s="8">
        <f>$B$98*'2026 Labor Alloc $$'!AG78</f>
        <v>9.3802525605558564</v>
      </c>
      <c r="AG98" s="8">
        <f>$B$98*'2026 Labor Alloc $$'!AH78</f>
        <v>657.81864024260869</v>
      </c>
      <c r="AH98" s="8">
        <f>$B$98*'2026 Labor Alloc $$'!AI78</f>
        <v>351.05215306996735</v>
      </c>
      <c r="AI98" s="8">
        <f>$B$98*'2026 Labor Alloc $$'!AJ78</f>
        <v>84.047005995114731</v>
      </c>
      <c r="AJ98" s="8">
        <f>$B$98*'2026 Labor Alloc $$'!AK78</f>
        <v>0</v>
      </c>
      <c r="AK98" s="8">
        <f>$B$98*'2026 Labor Alloc $$'!AL78</f>
        <v>6.1413933627428055</v>
      </c>
      <c r="AL98" s="8">
        <f>$B$98*'2026 Labor Alloc $$'!AM78</f>
        <v>8.597950707839928</v>
      </c>
      <c r="AM98" s="8">
        <f>$B$98*'2026 Labor Alloc $$'!AN78</f>
        <v>24.565573450971222</v>
      </c>
      <c r="AN98" s="8">
        <f>$B$98*'2026 Labor Alloc $$'!AO78</f>
        <v>9.8262293803884884</v>
      </c>
      <c r="AO98" s="8">
        <f>$B$98*'2026 Labor Alloc $$'!AP78</f>
        <v>0</v>
      </c>
      <c r="AP98" s="8">
        <f>$B$98*'2026 Labor Alloc $$'!AQ78</f>
        <v>0</v>
      </c>
      <c r="AQ98" s="8">
        <f>$B$98*'2026 Labor Alloc $$'!AR78</f>
        <v>0</v>
      </c>
      <c r="AR98" s="8">
        <f>$B$98*'2026 Labor Alloc $$'!AS78</f>
        <v>226.91677537011978</v>
      </c>
      <c r="AS98" s="8">
        <f>$B$98*'2026 Labor Alloc $$'!AT78</f>
        <v>60.982618723334873</v>
      </c>
      <c r="AT98" s="8">
        <f>$B$98*'2026 Labor Alloc $$'!AU78</f>
        <v>636.60763505804471</v>
      </c>
      <c r="AU98" s="8">
        <f>$B$98*'2026 Labor Alloc $$'!AV78</f>
        <v>247.09896194995676</v>
      </c>
      <c r="AV98" s="8">
        <f>$B$98*'2026 Labor Alloc $$'!AW78</f>
        <v>0</v>
      </c>
      <c r="AW98" s="364"/>
      <c r="AX98" s="8">
        <f t="shared" si="46"/>
        <v>0</v>
      </c>
      <c r="AY98" s="8">
        <v>0</v>
      </c>
      <c r="AZ98" s="8">
        <v>0</v>
      </c>
      <c r="BA98" s="8">
        <f t="shared" ref="BA98:BC98" si="169">BA225</f>
        <v>0</v>
      </c>
      <c r="BB98" s="8">
        <f t="shared" si="169"/>
        <v>0</v>
      </c>
      <c r="BC98" s="8">
        <f t="shared" si="169"/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f t="shared" ref="BJ98:BL98" si="170">BJ225</f>
        <v>0</v>
      </c>
      <c r="BK98" s="8">
        <f t="shared" si="170"/>
        <v>0</v>
      </c>
      <c r="BL98" s="8">
        <f t="shared" si="170"/>
        <v>0</v>
      </c>
      <c r="BM98" s="8">
        <f>SUM(B98:BL98)</f>
        <v>53179.780410456508</v>
      </c>
      <c r="BN98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98" s="85" t="e">
        <f>BM98-BN98</f>
        <v>#REF!</v>
      </c>
      <c r="BS98" s="8" t="e">
        <f>SUM(B98:BL98)-#REF!-AV98-AP98-SUM(AY98:BL98)</f>
        <v>#REF!</v>
      </c>
      <c r="BT98" t="s">
        <v>171</v>
      </c>
    </row>
    <row r="99" spans="1:72">
      <c r="A99" s="9" t="s">
        <v>172</v>
      </c>
      <c r="B99" s="287">
        <f t="shared" ref="B99:BC99" si="171">SUM(B96:B98)</f>
        <v>121214.81</v>
      </c>
      <c r="C99" s="377">
        <f t="shared" si="171"/>
        <v>121213.96455056225</v>
      </c>
      <c r="D99" s="378">
        <f>SUM(D96:D98)</f>
        <v>144372.75</v>
      </c>
      <c r="E99" s="10">
        <f>SUM(E96:E98)</f>
        <v>2446.56067736868</v>
      </c>
      <c r="F99" s="10">
        <f>SUM(F96:F98)</f>
        <v>887.39458955635723</v>
      </c>
      <c r="G99" s="10">
        <f t="shared" si="171"/>
        <v>33742.053369091816</v>
      </c>
      <c r="H99" s="10">
        <f t="shared" si="171"/>
        <v>14434.32839435047</v>
      </c>
      <c r="I99" s="10">
        <f t="shared" si="171"/>
        <v>2381.4308544647797</v>
      </c>
      <c r="J99" s="10">
        <f t="shared" si="171"/>
        <v>1608.9271310723552</v>
      </c>
      <c r="K99" s="10">
        <f t="shared" si="171"/>
        <v>1434.9174945381667</v>
      </c>
      <c r="L99" s="10">
        <f t="shared" si="171"/>
        <v>4739.6846079453098</v>
      </c>
      <c r="M99" s="10">
        <f t="shared" si="171"/>
        <v>3663.9912429221486</v>
      </c>
      <c r="N99" s="10">
        <f t="shared" si="171"/>
        <v>14686.138287025839</v>
      </c>
      <c r="O99" s="10">
        <f t="shared" si="171"/>
        <v>3141.1797607840285</v>
      </c>
      <c r="P99" s="10">
        <f t="shared" si="171"/>
        <v>2675.3947028576836</v>
      </c>
      <c r="Q99" s="10">
        <f t="shared" si="171"/>
        <v>3415.4387347713632</v>
      </c>
      <c r="R99" s="10">
        <f t="shared" si="171"/>
        <v>4534.1313425408189</v>
      </c>
      <c r="S99" s="10">
        <f t="shared" si="171"/>
        <v>3450.4861530070348</v>
      </c>
      <c r="T99" s="10">
        <f t="shared" si="171"/>
        <v>160.17491872343106</v>
      </c>
      <c r="U99" s="10">
        <f t="shared" si="171"/>
        <v>704.78755320518303</v>
      </c>
      <c r="V99" s="10">
        <f t="shared" si="171"/>
        <v>535.61362494829064</v>
      </c>
      <c r="W99" s="10">
        <f t="shared" si="171"/>
        <v>615.87940682091732</v>
      </c>
      <c r="X99" s="10">
        <f t="shared" si="171"/>
        <v>2956.7799720809194</v>
      </c>
      <c r="Y99" s="10">
        <f t="shared" si="171"/>
        <v>265.57322504850134</v>
      </c>
      <c r="Z99" s="10">
        <f t="shared" si="171"/>
        <v>510.15422608403003</v>
      </c>
      <c r="AA99" s="10">
        <f t="shared" si="171"/>
        <v>200.98974602076649</v>
      </c>
      <c r="AB99" s="10">
        <f t="shared" si="171"/>
        <v>5195.3351547545817</v>
      </c>
      <c r="AC99" s="10">
        <f t="shared" ref="AC99:AD99" si="172">SUM(AC96:AC98)</f>
        <v>311.45997248034968</v>
      </c>
      <c r="AD99" s="10">
        <f t="shared" si="172"/>
        <v>76.605395911206145</v>
      </c>
      <c r="AE99" s="10">
        <f t="shared" si="171"/>
        <v>90.488166395327198</v>
      </c>
      <c r="AF99" s="10">
        <f t="shared" si="171"/>
        <v>41.784761406112452</v>
      </c>
      <c r="AG99" s="10">
        <f t="shared" ref="AG99:AH99" si="173">SUM(AG96:AG98)</f>
        <v>3930.2830338079839</v>
      </c>
      <c r="AH99" s="10">
        <f t="shared" si="173"/>
        <v>2563.7777727662183</v>
      </c>
      <c r="AI99" s="10">
        <f t="shared" ref="AI99" si="174">SUM(AI96:AI98)</f>
        <v>374.39120852369291</v>
      </c>
      <c r="AJ99" s="10">
        <f t="shared" ref="AJ99:AO99" si="175">SUM(AJ96:AJ98)</f>
        <v>0</v>
      </c>
      <c r="AK99" s="10">
        <f t="shared" si="175"/>
        <v>27.357115888581589</v>
      </c>
      <c r="AL99" s="10">
        <f t="shared" si="175"/>
        <v>38.299962244014225</v>
      </c>
      <c r="AM99" s="10">
        <f t="shared" si="175"/>
        <v>109.42846355432636</v>
      </c>
      <c r="AN99" s="10">
        <f t="shared" si="175"/>
        <v>43.771385421730542</v>
      </c>
      <c r="AO99" s="10">
        <f t="shared" si="175"/>
        <v>0</v>
      </c>
      <c r="AP99" s="10">
        <f t="shared" si="171"/>
        <v>0</v>
      </c>
      <c r="AQ99" s="10">
        <f t="shared" si="171"/>
        <v>0</v>
      </c>
      <c r="AR99" s="10">
        <f t="shared" si="171"/>
        <v>1010.8110902850791</v>
      </c>
      <c r="AS99" s="10">
        <f t="shared" si="171"/>
        <v>271.64984704030991</v>
      </c>
      <c r="AT99" s="10">
        <f t="shared" si="171"/>
        <v>2835.7976470767444</v>
      </c>
      <c r="AU99" s="10">
        <f t="shared" si="171"/>
        <v>1100.71355777708</v>
      </c>
      <c r="AV99" s="10">
        <f t="shared" si="171"/>
        <v>0</v>
      </c>
      <c r="AW99" s="366"/>
      <c r="AX99" s="4">
        <f t="shared" si="46"/>
        <v>0</v>
      </c>
      <c r="AY99" s="10">
        <f t="shared" si="171"/>
        <v>0</v>
      </c>
      <c r="AZ99" s="10">
        <f t="shared" si="171"/>
        <v>0</v>
      </c>
      <c r="BA99" s="10">
        <f t="shared" si="171"/>
        <v>0</v>
      </c>
      <c r="BB99" s="10">
        <f t="shared" si="171"/>
        <v>0</v>
      </c>
      <c r="BC99" s="10">
        <f t="shared" si="171"/>
        <v>0</v>
      </c>
      <c r="BD99" s="10">
        <f t="shared" ref="BD99:BN99" si="176">SUM(BD96:BD98)</f>
        <v>0</v>
      </c>
      <c r="BE99" s="10">
        <f t="shared" si="176"/>
        <v>0</v>
      </c>
      <c r="BF99" s="10">
        <f t="shared" si="176"/>
        <v>0</v>
      </c>
      <c r="BG99" s="10">
        <f t="shared" si="176"/>
        <v>0</v>
      </c>
      <c r="BH99" s="10">
        <f t="shared" si="176"/>
        <v>0</v>
      </c>
      <c r="BI99" s="10">
        <f t="shared" si="176"/>
        <v>0</v>
      </c>
      <c r="BJ99" s="10">
        <f t="shared" si="176"/>
        <v>0</v>
      </c>
      <c r="BK99" s="10">
        <f t="shared" si="176"/>
        <v>0</v>
      </c>
      <c r="BL99" s="10">
        <f t="shared" si="176"/>
        <v>0</v>
      </c>
      <c r="BM99" s="10">
        <f t="shared" si="176"/>
        <v>508015.4891011244</v>
      </c>
      <c r="BN99" s="10" t="e">
        <f t="shared" si="176"/>
        <v>#REF!</v>
      </c>
      <c r="BO99" s="114" t="e">
        <f>BM99-BN99</f>
        <v>#REF!</v>
      </c>
      <c r="BS99" s="10" t="e">
        <f t="shared" ref="BS99" si="177">SUM(BS96:BS98)</f>
        <v>#REF!</v>
      </c>
      <c r="BT99" t="s">
        <v>172</v>
      </c>
    </row>
    <row r="100" spans="1:72">
      <c r="A100" s="11" t="s">
        <v>173</v>
      </c>
      <c r="B100" s="285">
        <v>20731.27</v>
      </c>
      <c r="C100" s="375">
        <f>SUM(E100:AV100)</f>
        <v>20791.27</v>
      </c>
      <c r="D100" s="375">
        <v>26859.13</v>
      </c>
      <c r="E100" s="8">
        <v>0</v>
      </c>
      <c r="F100" s="8">
        <v>0</v>
      </c>
      <c r="G100" s="8">
        <f>'51320 Small Equip-Software'!$K$60+500</f>
        <v>9775.2199999999993</v>
      </c>
      <c r="H100" s="8">
        <f>'51320 Small Equip-Software'!K61+300</f>
        <v>1095</v>
      </c>
      <c r="I100" s="8">
        <v>0</v>
      </c>
      <c r="J100" s="8">
        <v>0</v>
      </c>
      <c r="K100" s="8">
        <f>'51320 Small Equip-Software'!K64</f>
        <v>120</v>
      </c>
      <c r="L100" s="8">
        <v>500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500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1500</v>
      </c>
      <c r="AI100" s="8">
        <v>1000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0</v>
      </c>
      <c r="AU100" s="8">
        <v>0</v>
      </c>
      <c r="AV100" s="8">
        <f>'51320 Small Equip-Software'!K63</f>
        <v>6301.05</v>
      </c>
      <c r="AW100" s="364"/>
      <c r="AX100" s="8">
        <f t="shared" si="46"/>
        <v>0</v>
      </c>
      <c r="AY100" s="8">
        <f>('June 2024 YTD'!AV96*2)*1.03</f>
        <v>0</v>
      </c>
      <c r="AZ100" s="8">
        <f>('June 2024 YTD'!AW96*2)*1.03</f>
        <v>0</v>
      </c>
      <c r="BA100" s="8">
        <f>('June 2024 YTD'!AX96*2)*1.03</f>
        <v>0</v>
      </c>
      <c r="BB100" s="8">
        <f>('June 2024 YTD'!AY96*2)*1.03</f>
        <v>0</v>
      </c>
      <c r="BC100" s="8">
        <f>('June 2024 YTD'!AZ96*2)*1.03</f>
        <v>0</v>
      </c>
      <c r="BD100" s="8">
        <v>0</v>
      </c>
      <c r="BE100" s="8">
        <f>('June 2024 YTD'!BB96*2)*1.03</f>
        <v>0</v>
      </c>
      <c r="BF100" s="8">
        <f>('June 2024 YTD'!BC96*2)*1.03</f>
        <v>0</v>
      </c>
      <c r="BG100" s="8">
        <f>('June 2024 YTD'!BD96*2)*1.03</f>
        <v>0</v>
      </c>
      <c r="BH100" s="8">
        <f>('June 2024 YTD'!BE96*2)*1.03</f>
        <v>0</v>
      </c>
      <c r="BI100" s="8">
        <f>('June 2024 YTD'!BF96*2)*1.03</f>
        <v>0</v>
      </c>
      <c r="BJ100" s="8">
        <f>('June 2024 YTD'!BG96*2)*1.03</f>
        <v>0</v>
      </c>
      <c r="BK100" s="8">
        <f>('June 2024 YTD'!BH96*2)*1.03</f>
        <v>0</v>
      </c>
      <c r="BL100" s="8">
        <f>('June 2024 YTD'!BI96*2)*1.03</f>
        <v>0</v>
      </c>
      <c r="BM100" s="8">
        <f>SUM(B100:BL100)</f>
        <v>89172.94</v>
      </c>
      <c r="BN100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00" s="85" t="e">
        <f>BM100-BN100</f>
        <v>#REF!</v>
      </c>
      <c r="BS100" s="8" t="e">
        <f>SUM(B100:BL100)-#REF!-AV100-AP100-SUM(AY100:BL100)</f>
        <v>#REF!</v>
      </c>
      <c r="BT100" t="s">
        <v>173</v>
      </c>
    </row>
    <row r="101" spans="1:72">
      <c r="A101" s="6" t="s">
        <v>174</v>
      </c>
      <c r="B101" s="19"/>
      <c r="C101" s="82"/>
      <c r="D101" s="82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366"/>
      <c r="AX101" s="8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O101" s="85"/>
      <c r="BS101" s="4"/>
      <c r="BT101" t="s">
        <v>174</v>
      </c>
    </row>
    <row r="102" spans="1:72">
      <c r="A102" s="7" t="s">
        <v>175</v>
      </c>
      <c r="B102" s="285">
        <v>19000</v>
      </c>
      <c r="C102" s="375">
        <f>SUM(E102:AV102)</f>
        <v>18871.005787564845</v>
      </c>
      <c r="D102" s="375">
        <v>20854.52</v>
      </c>
      <c r="E102" s="8">
        <v>155</v>
      </c>
      <c r="F102" s="8">
        <f>$B$102*'2026 Labor Alloc $$'!AY78</f>
        <v>344.09177962389361</v>
      </c>
      <c r="G102" s="8">
        <f>$B$102*'2026 Labor Alloc $$'!H78</f>
        <v>2420.422939035604</v>
      </c>
      <c r="H102" s="8">
        <f>$B$102*'2026 Labor Alloc $$'!I78</f>
        <v>1719.4412141358969</v>
      </c>
      <c r="I102" s="8">
        <f>$B$102*'2026 Labor Alloc $$'!J78</f>
        <v>341.77931091491456</v>
      </c>
      <c r="J102" s="8">
        <f>$B$102*'2026 Labor Alloc $$'!K78</f>
        <v>429.99215286479085</v>
      </c>
      <c r="K102" s="8">
        <f>$B$102*'2026 Labor Alloc $$'!L78</f>
        <v>168.6453550250034</v>
      </c>
      <c r="L102" s="8">
        <f>$B$102*'2026 Labor Alloc $$'!M78</f>
        <v>480.69790920328353</v>
      </c>
      <c r="M102" s="8">
        <f>$B$102*'2026 Labor Alloc $$'!N78</f>
        <v>839.09864521471059</v>
      </c>
      <c r="N102" s="8">
        <f>$B$102*'2026 Labor Alloc $$'!O78</f>
        <v>2204.8407643569581</v>
      </c>
      <c r="O102" s="8">
        <f>$B$102*'2026 Labor Alloc $$'!P78</f>
        <v>636.37582561013346</v>
      </c>
      <c r="P102" s="8">
        <f>$B$102*'2026 Labor Alloc $$'!Q78</f>
        <v>68.014068455020194</v>
      </c>
      <c r="Q102" s="8">
        <f>$B$102*'2026 Labor Alloc $$'!R78</f>
        <v>548.84359103379393</v>
      </c>
      <c r="R102" s="8">
        <f>$B$102*'2026 Labor Alloc $$'!S78</f>
        <v>982.63011241378683</v>
      </c>
      <c r="S102" s="8">
        <f>$B$102*'2026 Labor Alloc $$'!T78</f>
        <v>368.55585524762563</v>
      </c>
      <c r="T102" s="8">
        <f>$B$102*'2026 Labor Alloc $$'!U78</f>
        <v>62.108641953983472</v>
      </c>
      <c r="U102" s="8">
        <f>$B$102*'2026 Labor Alloc $$'!V78</f>
        <v>273.28496961017299</v>
      </c>
      <c r="V102" s="8">
        <f>$B$102*'2026 Labor Alloc $$'!W78</f>
        <v>207.68691579627594</v>
      </c>
      <c r="W102" s="8">
        <f>$B$102*'2026 Labor Alloc $$'!X78</f>
        <v>238.81038223668222</v>
      </c>
      <c r="X102" s="8">
        <f>$B$102*'2026 Labor Alloc $$'!Y78</f>
        <v>564.8738667252544</v>
      </c>
      <c r="Y102" s="8">
        <f>$B$102*'2026 Labor Alloc $$'!Z78</f>
        <v>102.97737297799031</v>
      </c>
      <c r="Z102" s="8">
        <f>$B$102*'2026 Labor Alloc $$'!AA78</f>
        <v>197.81490399176676</v>
      </c>
      <c r="AA102" s="8">
        <f>$B$102*'2026 Labor Alloc $$'!AB78</f>
        <v>77.934799477440066</v>
      </c>
      <c r="AB102" s="8">
        <f>$B$102*'2026 Labor Alloc $$'!AC78</f>
        <v>1239.0075089864706</v>
      </c>
      <c r="AC102" s="8">
        <f>$B$102*'2026 Labor Alloc $$'!AD78</f>
        <v>120.77019341074784</v>
      </c>
      <c r="AD102" s="8">
        <f>$B$102*'2026 Labor Alloc $$'!AE78</f>
        <v>29.704133108426873</v>
      </c>
      <c r="AE102" s="8">
        <f>$B$102*'2026 Labor Alloc $$'!AF78</f>
        <v>35.087248194106465</v>
      </c>
      <c r="AF102" s="8">
        <f>$B$102*'2026 Labor Alloc $$'!AG78</f>
        <v>16.202254422778296</v>
      </c>
      <c r="AG102" s="8">
        <f>$B$102*'2026 Labor Alloc $$'!AH78</f>
        <v>1136.2321967826877</v>
      </c>
      <c r="AH102" s="8">
        <f>$B$102*'2026 Labor Alloc $$'!AI78</f>
        <v>606.36280984812538</v>
      </c>
      <c r="AI102" s="8">
        <f>$B$102*'2026 Labor Alloc $$'!AJ78</f>
        <v>145.1721012642891</v>
      </c>
      <c r="AJ102" s="8">
        <f>$B$102*'2026 Labor Alloc $$'!AK78</f>
        <v>0</v>
      </c>
      <c r="AK102" s="8">
        <f>$B$102*'2026 Labor Alloc $$'!AL78</f>
        <v>10.607861262919393</v>
      </c>
      <c r="AL102" s="8">
        <f>$B$102*'2026 Labor Alloc $$'!AM78</f>
        <v>14.851005768087147</v>
      </c>
      <c r="AM102" s="8">
        <f>$B$102*'2026 Labor Alloc $$'!AN78</f>
        <v>42.431445051677571</v>
      </c>
      <c r="AN102" s="8">
        <f>$B$102*'2026 Labor Alloc $$'!AO78</f>
        <v>16.972578020671026</v>
      </c>
      <c r="AO102" s="8">
        <f>$B$102*'2026 Labor Alloc $$'!AP78</f>
        <v>0</v>
      </c>
      <c r="AP102" s="8">
        <f>$B$102*'2026 Labor Alloc $$'!AQ78</f>
        <v>0</v>
      </c>
      <c r="AQ102" s="8">
        <f>$B$102*'2026 Labor Alloc $$'!AR78</f>
        <v>0</v>
      </c>
      <c r="AR102" s="8">
        <f>$B$102*'2026 Labor Alloc $$'!AS78</f>
        <v>391.94715745747965</v>
      </c>
      <c r="AS102" s="8">
        <f>$B$102*'2026 Labor Alloc $$'!AT78</f>
        <v>105.33361415848751</v>
      </c>
      <c r="AT102" s="8">
        <f>$B$102*'2026 Labor Alloc $$'!AU78</f>
        <v>1099.5950060093498</v>
      </c>
      <c r="AU102" s="8">
        <f>$B$102*'2026 Labor Alloc $$'!AV78</f>
        <v>426.80729791356168</v>
      </c>
      <c r="AV102" s="8">
        <f>$B$102*'2026 Labor Alloc $$'!AW78</f>
        <v>0</v>
      </c>
      <c r="AW102" s="364"/>
      <c r="AX102" s="8">
        <f t="shared" ref="AX102:AX162" si="178">SUM(AY102:BL102)</f>
        <v>0</v>
      </c>
      <c r="AY102" s="8">
        <v>0</v>
      </c>
      <c r="AZ102" s="8">
        <v>0</v>
      </c>
      <c r="BA102" s="8">
        <f t="shared" ref="BA102:BD102" si="179">BA230</f>
        <v>0</v>
      </c>
      <c r="BB102" s="8">
        <f t="shared" si="179"/>
        <v>0</v>
      </c>
      <c r="BC102" s="8">
        <f t="shared" si="179"/>
        <v>0</v>
      </c>
      <c r="BD102" s="8">
        <f t="shared" si="179"/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f t="shared" ref="BJ102:BL102" si="180">BJ230</f>
        <v>0</v>
      </c>
      <c r="BK102" s="8">
        <f t="shared" si="180"/>
        <v>0</v>
      </c>
      <c r="BL102" s="8">
        <f t="shared" si="180"/>
        <v>0</v>
      </c>
      <c r="BM102" s="8">
        <f>SUM(B102:BL102)</f>
        <v>77596.531575129688</v>
      </c>
      <c r="BN102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02" s="85" t="e">
        <f>BM102-BN102</f>
        <v>#REF!</v>
      </c>
      <c r="BS102" s="8" t="e">
        <f>SUM(B102:BL102)-#REF!-AV102-AP102-SUM(AY102:BL102)</f>
        <v>#REF!</v>
      </c>
      <c r="BT102" t="s">
        <v>175</v>
      </c>
    </row>
    <row r="103" spans="1:72">
      <c r="A103" s="9" t="s">
        <v>176</v>
      </c>
      <c r="B103" s="287">
        <f t="shared" ref="B103:AI103" si="181">SUM(B102)</f>
        <v>19000</v>
      </c>
      <c r="C103" s="377">
        <f t="shared" si="181"/>
        <v>18871.005787564845</v>
      </c>
      <c r="D103" s="378">
        <f>SUM(D102)</f>
        <v>20854.52</v>
      </c>
      <c r="E103" s="10">
        <f>SUM(E102)</f>
        <v>155</v>
      </c>
      <c r="F103" s="10">
        <f>SUM(F102)</f>
        <v>344.09177962389361</v>
      </c>
      <c r="G103" s="10">
        <f t="shared" si="181"/>
        <v>2420.422939035604</v>
      </c>
      <c r="H103" s="10">
        <f t="shared" si="181"/>
        <v>1719.4412141358969</v>
      </c>
      <c r="I103" s="10">
        <f t="shared" si="181"/>
        <v>341.77931091491456</v>
      </c>
      <c r="J103" s="10">
        <f t="shared" si="181"/>
        <v>429.99215286479085</v>
      </c>
      <c r="K103" s="10">
        <f t="shared" si="181"/>
        <v>168.6453550250034</v>
      </c>
      <c r="L103" s="10">
        <f t="shared" si="181"/>
        <v>480.69790920328353</v>
      </c>
      <c r="M103" s="10">
        <f t="shared" si="181"/>
        <v>839.09864521471059</v>
      </c>
      <c r="N103" s="10">
        <f t="shared" si="181"/>
        <v>2204.8407643569581</v>
      </c>
      <c r="O103" s="10">
        <f t="shared" si="181"/>
        <v>636.37582561013346</v>
      </c>
      <c r="P103" s="10">
        <f t="shared" si="181"/>
        <v>68.014068455020194</v>
      </c>
      <c r="Q103" s="10">
        <f t="shared" si="181"/>
        <v>548.84359103379393</v>
      </c>
      <c r="R103" s="10">
        <f t="shared" si="181"/>
        <v>982.63011241378683</v>
      </c>
      <c r="S103" s="10">
        <f t="shared" si="181"/>
        <v>368.55585524762563</v>
      </c>
      <c r="T103" s="10">
        <f t="shared" si="181"/>
        <v>62.108641953983472</v>
      </c>
      <c r="U103" s="10">
        <f t="shared" si="181"/>
        <v>273.28496961017299</v>
      </c>
      <c r="V103" s="10">
        <f t="shared" si="181"/>
        <v>207.68691579627594</v>
      </c>
      <c r="W103" s="10">
        <f t="shared" si="181"/>
        <v>238.81038223668222</v>
      </c>
      <c r="X103" s="10">
        <f t="shared" si="181"/>
        <v>564.8738667252544</v>
      </c>
      <c r="Y103" s="10">
        <f t="shared" si="181"/>
        <v>102.97737297799031</v>
      </c>
      <c r="Z103" s="10">
        <f t="shared" si="181"/>
        <v>197.81490399176676</v>
      </c>
      <c r="AA103" s="10">
        <f t="shared" si="181"/>
        <v>77.934799477440066</v>
      </c>
      <c r="AB103" s="10">
        <f t="shared" si="181"/>
        <v>1239.0075089864706</v>
      </c>
      <c r="AC103" s="10">
        <f t="shared" ref="AC103:AD103" si="182">SUM(AC102)</f>
        <v>120.77019341074784</v>
      </c>
      <c r="AD103" s="10">
        <f t="shared" si="182"/>
        <v>29.704133108426873</v>
      </c>
      <c r="AE103" s="10">
        <f t="shared" si="181"/>
        <v>35.087248194106465</v>
      </c>
      <c r="AF103" s="10">
        <f t="shared" si="181"/>
        <v>16.202254422778296</v>
      </c>
      <c r="AG103" s="10">
        <f t="shared" ref="AG103:AH103" si="183">SUM(AG102)</f>
        <v>1136.2321967826877</v>
      </c>
      <c r="AH103" s="10">
        <f t="shared" si="183"/>
        <v>606.36280984812538</v>
      </c>
      <c r="AI103" s="10">
        <f t="shared" si="181"/>
        <v>145.1721012642891</v>
      </c>
      <c r="AJ103" s="10">
        <f t="shared" ref="AJ103:AO103" si="184">SUM(AJ102)</f>
        <v>0</v>
      </c>
      <c r="AK103" s="10">
        <f t="shared" si="184"/>
        <v>10.607861262919393</v>
      </c>
      <c r="AL103" s="10">
        <f t="shared" si="184"/>
        <v>14.851005768087147</v>
      </c>
      <c r="AM103" s="10">
        <f t="shared" si="184"/>
        <v>42.431445051677571</v>
      </c>
      <c r="AN103" s="10">
        <f t="shared" si="184"/>
        <v>16.972578020671026</v>
      </c>
      <c r="AO103" s="10">
        <f t="shared" si="184"/>
        <v>0</v>
      </c>
      <c r="AP103" s="10">
        <f t="shared" ref="AP103:BN103" si="185">SUM(AP102)</f>
        <v>0</v>
      </c>
      <c r="AQ103" s="10">
        <f t="shared" si="185"/>
        <v>0</v>
      </c>
      <c r="AR103" s="10">
        <f t="shared" si="185"/>
        <v>391.94715745747965</v>
      </c>
      <c r="AS103" s="10">
        <f t="shared" si="185"/>
        <v>105.33361415848751</v>
      </c>
      <c r="AT103" s="10">
        <f t="shared" si="185"/>
        <v>1099.5950060093498</v>
      </c>
      <c r="AU103" s="10">
        <f t="shared" si="185"/>
        <v>426.80729791356168</v>
      </c>
      <c r="AV103" s="10">
        <f t="shared" si="185"/>
        <v>0</v>
      </c>
      <c r="AW103" s="366"/>
      <c r="AX103" s="4">
        <f t="shared" si="178"/>
        <v>0</v>
      </c>
      <c r="AY103" s="10">
        <f t="shared" si="185"/>
        <v>0</v>
      </c>
      <c r="AZ103" s="10">
        <f t="shared" si="185"/>
        <v>0</v>
      </c>
      <c r="BA103" s="10">
        <f t="shared" si="185"/>
        <v>0</v>
      </c>
      <c r="BB103" s="10">
        <f t="shared" si="185"/>
        <v>0</v>
      </c>
      <c r="BC103" s="10">
        <f t="shared" si="185"/>
        <v>0</v>
      </c>
      <c r="BD103" s="10">
        <f t="shared" si="185"/>
        <v>0</v>
      </c>
      <c r="BE103" s="10">
        <f t="shared" si="185"/>
        <v>0</v>
      </c>
      <c r="BF103" s="10">
        <f t="shared" si="185"/>
        <v>0</v>
      </c>
      <c r="BG103" s="10">
        <f t="shared" si="185"/>
        <v>0</v>
      </c>
      <c r="BH103" s="10">
        <f t="shared" si="185"/>
        <v>0</v>
      </c>
      <c r="BI103" s="10">
        <f t="shared" si="185"/>
        <v>0</v>
      </c>
      <c r="BJ103" s="10">
        <f t="shared" si="185"/>
        <v>0</v>
      </c>
      <c r="BK103" s="10">
        <f t="shared" si="185"/>
        <v>0</v>
      </c>
      <c r="BL103" s="10">
        <f t="shared" si="185"/>
        <v>0</v>
      </c>
      <c r="BM103" s="10">
        <f t="shared" si="185"/>
        <v>77596.531575129688</v>
      </c>
      <c r="BN103" s="10" t="e">
        <f t="shared" si="185"/>
        <v>#REF!</v>
      </c>
      <c r="BO103" s="85" t="e">
        <f>BM103-BN103</f>
        <v>#REF!</v>
      </c>
      <c r="BS103" s="10" t="e">
        <f t="shared" ref="BS103" si="186">SUM(BS102)</f>
        <v>#REF!</v>
      </c>
      <c r="BT103" t="s">
        <v>176</v>
      </c>
    </row>
    <row r="104" spans="1:72">
      <c r="A104" s="6" t="s">
        <v>177</v>
      </c>
      <c r="B104" s="19"/>
      <c r="C104" s="82"/>
      <c r="D104" s="82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366"/>
      <c r="AX104" s="8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O104" s="85"/>
      <c r="BS104" s="4"/>
      <c r="BT104" t="s">
        <v>177</v>
      </c>
    </row>
    <row r="105" spans="1:72">
      <c r="A105" s="7" t="s">
        <v>178</v>
      </c>
      <c r="B105" s="285">
        <v>8327.14</v>
      </c>
      <c r="C105" s="375">
        <f>SUM(E105:AV105)</f>
        <v>8327.14</v>
      </c>
      <c r="D105" s="375">
        <v>6083.87</v>
      </c>
      <c r="E105" s="8">
        <v>250</v>
      </c>
      <c r="F105" s="8">
        <v>250</v>
      </c>
      <c r="G105" s="8">
        <f>'June 2025 YTD'!C103*2</f>
        <v>0</v>
      </c>
      <c r="H105" s="8">
        <v>300</v>
      </c>
      <c r="I105" s="8">
        <f>'June 2025 YTD'!E103*2</f>
        <v>0</v>
      </c>
      <c r="J105" s="8">
        <f>'June 2025 YTD'!F103*2</f>
        <v>0</v>
      </c>
      <c r="K105" s="8">
        <f>'51320 Small Equip-Software'!$H$83+'51320 Small Equip-Software'!$H$87+'51320 Small Equip-Software'!$H$88</f>
        <v>3350</v>
      </c>
      <c r="L105" s="8">
        <f>'June 2025 YTD'!H103*2</f>
        <v>0</v>
      </c>
      <c r="M105" s="8">
        <v>350</v>
      </c>
      <c r="N105" s="8">
        <f>'June 2025 YTD'!J103*2</f>
        <v>0</v>
      </c>
      <c r="O105" s="8">
        <f>'June 2025 YTD'!K103*2</f>
        <v>0</v>
      </c>
      <c r="P105" s="8">
        <f>'June 2025 YTD'!L103*2</f>
        <v>0</v>
      </c>
      <c r="Q105" s="8">
        <f>'June 2025 YTD'!M103*2</f>
        <v>0</v>
      </c>
      <c r="R105" s="8">
        <f>'51320 Small Equip-Software'!K84</f>
        <v>2877.1400000000003</v>
      </c>
      <c r="S105" s="8">
        <f>'June 2025 YTD'!O103*2</f>
        <v>0</v>
      </c>
      <c r="T105" s="8">
        <f>'June 2025 YTD'!P103*2</f>
        <v>0</v>
      </c>
      <c r="U105" s="8">
        <f>'June 2025 YTD'!Q103*2</f>
        <v>0</v>
      </c>
      <c r="V105" s="8">
        <f>'June 2025 YTD'!R103*2</f>
        <v>0</v>
      </c>
      <c r="W105" s="8">
        <f>'June 2025 YTD'!S103*2</f>
        <v>0</v>
      </c>
      <c r="X105" s="8">
        <f>'June 2025 YTD'!T103*2</f>
        <v>0</v>
      </c>
      <c r="Y105" s="8">
        <f>'June 2025 YTD'!U103*2</f>
        <v>0</v>
      </c>
      <c r="Z105" s="8">
        <f>'June 2025 YTD'!V103*2</f>
        <v>0</v>
      </c>
      <c r="AA105" s="8">
        <f>'June 2025 YTD'!W103*2</f>
        <v>0</v>
      </c>
      <c r="AB105" s="8">
        <f>'June 2025 YTD'!X103*2</f>
        <v>0</v>
      </c>
      <c r="AC105" s="8">
        <f>'June 2025 YTD'!Y103*2</f>
        <v>0</v>
      </c>
      <c r="AD105" s="8">
        <f>'June 2025 YTD'!Z103*2</f>
        <v>0</v>
      </c>
      <c r="AE105" s="8">
        <f>'June 2025 YTD'!AA103*2</f>
        <v>0</v>
      </c>
      <c r="AF105" s="8">
        <f>'June 2025 YTD'!AB103*2</f>
        <v>0</v>
      </c>
      <c r="AG105" s="8">
        <f>'June 2025 YTD'!AC103*2</f>
        <v>0</v>
      </c>
      <c r="AH105" s="8">
        <f>'June 2025 YTD'!AD103*2</f>
        <v>0</v>
      </c>
      <c r="AI105" s="8">
        <f>'June 2025 YTD'!AE103*2</f>
        <v>0</v>
      </c>
      <c r="AJ105" s="8">
        <f>'June 2025 YTD'!AF103*2</f>
        <v>0</v>
      </c>
      <c r="AK105" s="8">
        <f>'June 2025 YTD'!AG103*2</f>
        <v>0</v>
      </c>
      <c r="AL105" s="8">
        <f>'June 2025 YTD'!AH103*2</f>
        <v>0</v>
      </c>
      <c r="AM105" s="8">
        <f>'June 2025 YTD'!AI103*2</f>
        <v>0</v>
      </c>
      <c r="AN105" s="8">
        <f>'June 2025 YTD'!AJ103*2</f>
        <v>0</v>
      </c>
      <c r="AO105" s="8">
        <f>'June 2025 YTD'!AK103*2</f>
        <v>0</v>
      </c>
      <c r="AP105" s="8">
        <f>'June 2025 YTD'!AL103*2</f>
        <v>0</v>
      </c>
      <c r="AQ105" s="8">
        <f>'June 2025 YTD'!AM103*2</f>
        <v>0</v>
      </c>
      <c r="AR105" s="8">
        <v>0</v>
      </c>
      <c r="AS105" s="8">
        <f>'June 2025 YTD'!AO103*2</f>
        <v>0</v>
      </c>
      <c r="AT105" s="8">
        <f>'June 2025 YTD'!AP103*2</f>
        <v>0</v>
      </c>
      <c r="AU105" s="8">
        <f>'51320 Small Equip-Software'!$K$85</f>
        <v>950</v>
      </c>
      <c r="AV105" s="8">
        <f>'June 2025 YTD'!AR103*2</f>
        <v>0</v>
      </c>
      <c r="AW105" s="364"/>
      <c r="AX105" s="8">
        <f t="shared" si="178"/>
        <v>0</v>
      </c>
      <c r="AY105" s="8">
        <f>('June 2024 YTD'!AV101*2)*1.03</f>
        <v>0</v>
      </c>
      <c r="AZ105" s="8">
        <f>('June 2024 YTD'!AW101*2)*1.03</f>
        <v>0</v>
      </c>
      <c r="BA105" s="8">
        <f>('June 2024 YTD'!AX101*2)*1.03</f>
        <v>0</v>
      </c>
      <c r="BB105" s="8">
        <f>('June 2024 YTD'!AY101*2)*1.03</f>
        <v>0</v>
      </c>
      <c r="BC105" s="8">
        <f>('June 2024 YTD'!AZ101*2)*1.03</f>
        <v>0</v>
      </c>
      <c r="BD105" s="8">
        <v>0</v>
      </c>
      <c r="BE105" s="8">
        <f>('June 2024 YTD'!BB101*2)*1.03</f>
        <v>0</v>
      </c>
      <c r="BF105" s="8">
        <f>('June 2024 YTD'!BC101*2)*1.03</f>
        <v>0</v>
      </c>
      <c r="BG105" s="8">
        <f>('June 2024 YTD'!BD101*2)*1.03</f>
        <v>0</v>
      </c>
      <c r="BH105" s="8">
        <f>('June 2024 YTD'!BE101*2)*1.03</f>
        <v>0</v>
      </c>
      <c r="BI105" s="8">
        <f>('June 2024 YTD'!BF101*2)*1.03</f>
        <v>0</v>
      </c>
      <c r="BJ105" s="8">
        <f>('June 2024 YTD'!BG101*2)*1.03</f>
        <v>0</v>
      </c>
      <c r="BK105" s="8">
        <f>('June 2024 YTD'!BH101*2)*1.03</f>
        <v>0</v>
      </c>
      <c r="BL105" s="8">
        <f>('June 2024 YTD'!BI101*2)*1.03</f>
        <v>0</v>
      </c>
      <c r="BM105" s="8">
        <f>SUM(G105:BL105)</f>
        <v>7827.14</v>
      </c>
      <c r="BN105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05" s="85" t="e">
        <f>BM105-BN105</f>
        <v>#REF!</v>
      </c>
      <c r="BS105" s="8" t="e">
        <f>SUM(B105:BL105)-#REF!-AV105-AP105-SUM(AY105:BL105)</f>
        <v>#REF!</v>
      </c>
      <c r="BT105" t="s">
        <v>178</v>
      </c>
    </row>
    <row r="106" spans="1:72">
      <c r="A106" s="7" t="s">
        <v>179</v>
      </c>
      <c r="B106" s="285">
        <v>20106.7</v>
      </c>
      <c r="C106" s="375">
        <f t="shared" ref="C106:C108" si="187">SUM(E106:AV106)</f>
        <v>20620.430000000004</v>
      </c>
      <c r="D106" s="375">
        <v>15101.95</v>
      </c>
      <c r="E106" s="8">
        <v>750</v>
      </c>
      <c r="F106" s="8">
        <v>0</v>
      </c>
      <c r="G106" s="8">
        <f>'51320 Small Equip-Software'!K93+1000</f>
        <v>2639.94</v>
      </c>
      <c r="H106" s="8">
        <f>'June 2025 YTD'!D104*2+500</f>
        <v>500</v>
      </c>
      <c r="I106" s="8">
        <f>'June 2025 YTD'!E104*2</f>
        <v>0</v>
      </c>
      <c r="J106" s="8">
        <f>'June 2025 YTD'!F104*2</f>
        <v>0</v>
      </c>
      <c r="K106" s="8">
        <f>1000</f>
        <v>1000</v>
      </c>
      <c r="L106" s="8">
        <f>'June 2025 YTD'!H104*2</f>
        <v>0</v>
      </c>
      <c r="M106" s="8">
        <f>'51320 Small Equip-Software'!K96</f>
        <v>61.96</v>
      </c>
      <c r="N106" s="8">
        <v>300</v>
      </c>
      <c r="O106" s="8">
        <v>300</v>
      </c>
      <c r="P106" s="8">
        <v>300</v>
      </c>
      <c r="Q106" s="8">
        <v>300</v>
      </c>
      <c r="R106" s="8">
        <f>'51320 Small Equip-Software'!K97+500</f>
        <v>1373.92</v>
      </c>
      <c r="S106" s="8">
        <f>'June 2025 YTD'!O104*2</f>
        <v>0</v>
      </c>
      <c r="T106" s="8">
        <f>'June 2025 YTD'!P104*2</f>
        <v>0</v>
      </c>
      <c r="U106" s="8">
        <f>'June 2025 YTD'!Q104*2</f>
        <v>0</v>
      </c>
      <c r="V106" s="8">
        <f>'June 2025 YTD'!R104*2</f>
        <v>0</v>
      </c>
      <c r="W106" s="8">
        <f>'June 2025 YTD'!S104*2</f>
        <v>0</v>
      </c>
      <c r="X106" s="8">
        <f>'June 2025 YTD'!T104*2</f>
        <v>0</v>
      </c>
      <c r="Y106" s="8">
        <f>'June 2025 YTD'!U104*2</f>
        <v>0</v>
      </c>
      <c r="Z106" s="8">
        <f>'June 2025 YTD'!V104*2</f>
        <v>0</v>
      </c>
      <c r="AA106" s="8">
        <f>'June 2025 YTD'!W104*2</f>
        <v>0</v>
      </c>
      <c r="AB106" s="8">
        <f>'51320 Small Equip-Software'!K99</f>
        <v>488</v>
      </c>
      <c r="AC106" s="8">
        <f>'June 2025 YTD'!Y104*2</f>
        <v>0</v>
      </c>
      <c r="AD106" s="8">
        <f>'June 2025 YTD'!Z104*2</f>
        <v>0</v>
      </c>
      <c r="AE106" s="8">
        <f>'June 2025 YTD'!AA104*2</f>
        <v>0</v>
      </c>
      <c r="AF106" s="8">
        <f>'June 2025 YTD'!AB104*2</f>
        <v>0</v>
      </c>
      <c r="AG106" s="8">
        <f>'51320 Small Equip-Software'!K98</f>
        <v>69.97</v>
      </c>
      <c r="AH106" s="8">
        <f>'June 2025 YTD'!AD104*2</f>
        <v>0</v>
      </c>
      <c r="AI106" s="8">
        <f>'51320 Small Equip-Software'!K95-118.37-131.22-2.17</f>
        <v>5590.48</v>
      </c>
      <c r="AJ106" s="8">
        <f>'51320 Small Equip-Software'!K94</f>
        <v>3680.67</v>
      </c>
      <c r="AK106" s="8">
        <f>765.65-0.16</f>
        <v>765.49</v>
      </c>
      <c r="AL106" s="8">
        <f>'June 2025 YTD'!AH104*2</f>
        <v>0</v>
      </c>
      <c r="AM106" s="8">
        <f>'June 2025 YTD'!AI104*2</f>
        <v>0</v>
      </c>
      <c r="AN106" s="8">
        <v>500</v>
      </c>
      <c r="AO106" s="8">
        <f>'June 2025 YTD'!AK104*2</f>
        <v>0</v>
      </c>
      <c r="AP106" s="8">
        <f>'June 2025 YTD'!AL104*2</f>
        <v>0</v>
      </c>
      <c r="AQ106" s="8">
        <f>'June 2025 YTD'!AM104*2</f>
        <v>0</v>
      </c>
      <c r="AR106" s="8">
        <f>'June 2025 YTD'!AN104*2</f>
        <v>0</v>
      </c>
      <c r="AS106" s="8">
        <f>'June 2025 YTD'!AO104*2</f>
        <v>0</v>
      </c>
      <c r="AT106" s="8">
        <f>'June 2025 YTD'!AP104*2</f>
        <v>0</v>
      </c>
      <c r="AU106" s="8">
        <v>2000</v>
      </c>
      <c r="AV106" s="8">
        <f>'June 2025 YTD'!AR104*2</f>
        <v>0</v>
      </c>
      <c r="AW106" s="364"/>
      <c r="AX106" s="8">
        <f t="shared" si="178"/>
        <v>0</v>
      </c>
      <c r="AY106" s="8">
        <f t="shared" ref="AY106:BD107" si="188">AY241</f>
        <v>0</v>
      </c>
      <c r="AZ106" s="8">
        <f t="shared" si="188"/>
        <v>0</v>
      </c>
      <c r="BA106" s="8">
        <f t="shared" si="188"/>
        <v>0</v>
      </c>
      <c r="BB106" s="8">
        <f t="shared" si="188"/>
        <v>0</v>
      </c>
      <c r="BC106" s="8">
        <f t="shared" si="188"/>
        <v>0</v>
      </c>
      <c r="BD106" s="8">
        <f t="shared" si="188"/>
        <v>0</v>
      </c>
      <c r="BE106" s="8">
        <v>0</v>
      </c>
      <c r="BF106" s="8">
        <v>0</v>
      </c>
      <c r="BG106" s="8">
        <f t="shared" ref="BG106:BL106" si="189">BG241</f>
        <v>0</v>
      </c>
      <c r="BH106" s="8">
        <v>0</v>
      </c>
      <c r="BI106" s="8">
        <f t="shared" si="189"/>
        <v>0</v>
      </c>
      <c r="BJ106" s="8">
        <f t="shared" si="189"/>
        <v>0</v>
      </c>
      <c r="BK106" s="8">
        <f t="shared" si="189"/>
        <v>0</v>
      </c>
      <c r="BL106" s="8">
        <f t="shared" si="189"/>
        <v>0</v>
      </c>
      <c r="BM106" s="8">
        <f>SUM(G106:BL106)</f>
        <v>19870.430000000004</v>
      </c>
      <c r="BN106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06" s="85" t="e">
        <f>BM106-BN106</f>
        <v>#REF!</v>
      </c>
      <c r="BS106" s="8" t="e">
        <f>SUM(B106:BL106)-#REF!-AV106-AP106-SUM(AY106:BL106)</f>
        <v>#REF!</v>
      </c>
      <c r="BT106" t="s">
        <v>179</v>
      </c>
    </row>
    <row r="107" spans="1:72">
      <c r="A107" s="7" t="s">
        <v>180</v>
      </c>
      <c r="B107" s="285">
        <v>9476</v>
      </c>
      <c r="C107" s="375">
        <f t="shared" si="187"/>
        <v>10167.571623313921</v>
      </c>
      <c r="D107" s="375">
        <v>9476.32</v>
      </c>
      <c r="E107" s="8">
        <v>200</v>
      </c>
      <c r="F107" s="8">
        <f>$B$107*'2026 Labor Alloc $$'!AY78</f>
        <v>171.61124756400085</v>
      </c>
      <c r="G107" s="8">
        <f>$B$107*'2026 Labor Alloc $$'!H78</f>
        <v>1207.154093173757</v>
      </c>
      <c r="H107" s="8">
        <f>$B$107*'2026 Labor Alloc $$'!I78</f>
        <v>857.54868132377669</v>
      </c>
      <c r="I107" s="8">
        <f>$B$107*'2026 Labor Alloc $$'!J78</f>
        <v>170.45793422261738</v>
      </c>
      <c r="J107" s="8">
        <f>$B$107*'2026 Labor Alloc $$'!K78</f>
        <v>214.45292844982936</v>
      </c>
      <c r="K107" s="8">
        <f>$B$107*'2026 Labor Alloc $$'!L78</f>
        <v>84.109651800891172</v>
      </c>
      <c r="L107" s="8">
        <f>$B$107*'2026 Labor Alloc $$'!M78</f>
        <v>239.74175724264816</v>
      </c>
      <c r="M107" s="8">
        <f>$B$107*'2026 Labor Alloc $$'!N78</f>
        <v>418.48940852918935</v>
      </c>
      <c r="N107" s="8">
        <f>$B$107*'2026 Labor Alloc $$'!O78</f>
        <v>1099.6353201603438</v>
      </c>
      <c r="O107" s="8">
        <f>$B$107*'2026 Labor Alloc $$'!P78</f>
        <v>317.38406965692758</v>
      </c>
      <c r="P107" s="8">
        <f>$B$107*'2026 Labor Alloc $$'!Q78</f>
        <v>33.921121719987966</v>
      </c>
      <c r="Q107" s="8">
        <f>$B$107*'2026 Labor Alloc $$'!R78</f>
        <v>273.72851940190691</v>
      </c>
      <c r="R107" s="8">
        <f>$B$107*'2026 Labor Alloc $$'!S78</f>
        <v>490.07383922279178</v>
      </c>
      <c r="S107" s="8">
        <f>$B$107*'2026 Labor Alloc $$'!T78</f>
        <v>183.8123833856053</v>
      </c>
      <c r="T107" s="8">
        <f>$B$107*'2026 Labor Alloc $$'!U78</f>
        <v>30.975867955576177</v>
      </c>
      <c r="U107" s="8">
        <f>$B$107*'2026 Labor Alloc $$'!V78</f>
        <v>136.2972827382105</v>
      </c>
      <c r="V107" s="8">
        <f>$B$107*'2026 Labor Alloc $$'!W78</f>
        <v>103.58111653081636</v>
      </c>
      <c r="W107" s="8">
        <f>$B$107*'2026 Labor Alloc $$'!X78</f>
        <v>119.10353589867373</v>
      </c>
      <c r="X107" s="8">
        <f>$B$107*'2026 Labor Alloc $$'!Y78</f>
        <v>281.72340847834266</v>
      </c>
      <c r="Y107" s="8">
        <f>$B$107*'2026 Labor Alloc $$'!Z78</f>
        <v>51.358609807338745</v>
      </c>
      <c r="Z107" s="8">
        <f>$B$107*'2026 Labor Alloc $$'!AA78</f>
        <v>98.657580538209558</v>
      </c>
      <c r="AA107" s="8">
        <f>$B$107*'2026 Labor Alloc $$'!AB78</f>
        <v>38.868955781485376</v>
      </c>
      <c r="AB107" s="8">
        <f>$B$107*'2026 Labor Alloc $$'!AC78</f>
        <v>617.93869237662079</v>
      </c>
      <c r="AC107" s="8">
        <f>$B$107*'2026 Labor Alloc $$'!AD78</f>
        <v>60.232544882118233</v>
      </c>
      <c r="AD107" s="8">
        <f>$B$107*'2026 Labor Alloc $$'!AE78</f>
        <v>14.814545543971214</v>
      </c>
      <c r="AE107" s="8">
        <f>$B$107*'2026 Labor Alloc $$'!AF78</f>
        <v>17.499303362492256</v>
      </c>
      <c r="AF107" s="8">
        <f>$B$107*'2026 Labor Alloc $$'!AG78</f>
        <v>8.08066120580248</v>
      </c>
      <c r="AG107" s="8">
        <f>$B$107*'2026 Labor Alloc $$'!AH78</f>
        <v>566.68085772172367</v>
      </c>
      <c r="AH107" s="8">
        <f>$B$107*'2026 Labor Alloc $$'!AI78</f>
        <v>302.41547295372823</v>
      </c>
      <c r="AI107" s="8">
        <f>$B$107*'2026 Labor Alloc $$'!AJ78</f>
        <v>72.40267534633702</v>
      </c>
      <c r="AJ107" s="8">
        <v>250</v>
      </c>
      <c r="AK107" s="8">
        <f>$B$107*'2026 Labor Alloc $$'!AL78</f>
        <v>5.2905312277591658</v>
      </c>
      <c r="AL107" s="8">
        <f>$B$107*'2026 Labor Alloc $$'!AM78+383.43-0.63+0.41</f>
        <v>390.61674371886289</v>
      </c>
      <c r="AM107" s="8">
        <f>$B$107*'2026 Labor Alloc $$'!AN78</f>
        <v>21.162124911036663</v>
      </c>
      <c r="AN107" s="8">
        <f>$B$107*'2026 Labor Alloc $$'!AO78</f>
        <v>8.4648499644146646</v>
      </c>
      <c r="AO107" s="8">
        <f>$B$107*'2026 Labor Alloc $$'!AP78</f>
        <v>0</v>
      </c>
      <c r="AP107" s="8">
        <f>$B$107*'2026 Labor Alloc $$'!AQ78</f>
        <v>0</v>
      </c>
      <c r="AQ107" s="8">
        <f>$B$107*'2026 Labor Alloc $$'!AR78</f>
        <v>0</v>
      </c>
      <c r="AR107" s="8">
        <f>$B$107*'2026 Labor Alloc $$'!AS78</f>
        <v>195.47848758247773</v>
      </c>
      <c r="AS107" s="8">
        <f>$B$107*'2026 Labor Alloc $$'!AT78</f>
        <v>52.533754092938295</v>
      </c>
      <c r="AT107" s="8">
        <f>$B$107*'2026 Labor Alloc $$'!AU78</f>
        <v>548.40854089182108</v>
      </c>
      <c r="AU107" s="8">
        <f>$B$107*'2026 Labor Alloc $$'!AV78</f>
        <v>212.86452394889002</v>
      </c>
      <c r="AV107" s="8">
        <f>$B$107*'2026 Labor Alloc $$'!AW78</f>
        <v>0</v>
      </c>
      <c r="AW107" s="364"/>
      <c r="AX107" s="8">
        <f t="shared" si="178"/>
        <v>0</v>
      </c>
      <c r="AY107" s="8">
        <v>0</v>
      </c>
      <c r="AZ107" s="8">
        <v>0</v>
      </c>
      <c r="BA107" s="8">
        <f t="shared" si="188"/>
        <v>0</v>
      </c>
      <c r="BB107" s="8">
        <f t="shared" si="188"/>
        <v>0</v>
      </c>
      <c r="BC107" s="8">
        <f t="shared" si="188"/>
        <v>0</v>
      </c>
      <c r="BD107" s="8">
        <f t="shared" si="188"/>
        <v>0</v>
      </c>
      <c r="BE107" s="8">
        <v>0</v>
      </c>
      <c r="BF107" s="8">
        <v>0</v>
      </c>
      <c r="BG107" s="8">
        <v>0</v>
      </c>
      <c r="BH107" s="8">
        <v>0</v>
      </c>
      <c r="BI107" s="8">
        <v>0</v>
      </c>
      <c r="BJ107" s="8">
        <f t="shared" ref="BJ107:BL107" si="190">BJ242</f>
        <v>0</v>
      </c>
      <c r="BK107" s="8">
        <f t="shared" si="190"/>
        <v>0</v>
      </c>
      <c r="BL107" s="8">
        <f t="shared" si="190"/>
        <v>0</v>
      </c>
      <c r="BM107" s="8">
        <f>SUM(G107:BL107)</f>
        <v>9795.9603757499208</v>
      </c>
      <c r="BN107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07" s="85" t="e">
        <f>BM107-BN107</f>
        <v>#REF!</v>
      </c>
      <c r="BS107" s="8" t="e">
        <f>SUM(B107:BL107)-#REF!-AV107-AP107-SUM(AY107:BL107)</f>
        <v>#REF!</v>
      </c>
      <c r="BT107" t="s">
        <v>180</v>
      </c>
    </row>
    <row r="108" spans="1:72">
      <c r="A108" s="388" t="s">
        <v>632</v>
      </c>
      <c r="B108" s="285">
        <v>6234.03</v>
      </c>
      <c r="C108" s="375">
        <f t="shared" si="187"/>
        <v>6234.03</v>
      </c>
      <c r="D108" s="375">
        <v>6234.08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6234.03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0</v>
      </c>
      <c r="AV108" s="8">
        <v>0</v>
      </c>
      <c r="AW108" s="364"/>
      <c r="AX108" s="8">
        <f t="shared" si="178"/>
        <v>0</v>
      </c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>
        <f>SUM(G108:BL108)</f>
        <v>6234.03</v>
      </c>
      <c r="BO108" s="85"/>
      <c r="BS108" s="8"/>
    </row>
    <row r="109" spans="1:72">
      <c r="A109" s="9" t="s">
        <v>181</v>
      </c>
      <c r="B109" s="287">
        <f t="shared" ref="B109:BC109" si="191">SUM(B105:B107)</f>
        <v>37909.839999999997</v>
      </c>
      <c r="C109" s="377">
        <f t="shared" si="191"/>
        <v>39115.141623313924</v>
      </c>
      <c r="D109" s="378">
        <f>SUM(D105:D108)</f>
        <v>36896.22</v>
      </c>
      <c r="E109" s="10">
        <f>SUM(E105:E107)</f>
        <v>1200</v>
      </c>
      <c r="F109" s="10">
        <f>SUM(F105:F108)</f>
        <v>421.61124756400085</v>
      </c>
      <c r="G109" s="10">
        <f t="shared" si="191"/>
        <v>3847.0940931737568</v>
      </c>
      <c r="H109" s="10">
        <f t="shared" si="191"/>
        <v>1657.5486813237767</v>
      </c>
      <c r="I109" s="10">
        <f t="shared" si="191"/>
        <v>170.45793422261738</v>
      </c>
      <c r="J109" s="10">
        <f t="shared" si="191"/>
        <v>214.45292844982936</v>
      </c>
      <c r="K109" s="10">
        <f>SUM(K105:K107)</f>
        <v>4434.1096518008908</v>
      </c>
      <c r="L109" s="10">
        <f t="shared" si="191"/>
        <v>239.74175724264816</v>
      </c>
      <c r="M109" s="10">
        <f t="shared" si="191"/>
        <v>830.44940852918933</v>
      </c>
      <c r="N109" s="10">
        <f t="shared" si="191"/>
        <v>1399.6353201603438</v>
      </c>
      <c r="O109" s="10">
        <f t="shared" si="191"/>
        <v>617.38406965692752</v>
      </c>
      <c r="P109" s="10">
        <f t="shared" si="191"/>
        <v>333.92112171998798</v>
      </c>
      <c r="Q109" s="10">
        <f t="shared" si="191"/>
        <v>573.72851940190685</v>
      </c>
      <c r="R109" s="10">
        <f t="shared" si="191"/>
        <v>4741.1338392227917</v>
      </c>
      <c r="S109" s="10">
        <f t="shared" si="191"/>
        <v>183.8123833856053</v>
      </c>
      <c r="T109" s="10">
        <f t="shared" si="191"/>
        <v>30.975867955576177</v>
      </c>
      <c r="U109" s="10">
        <f t="shared" si="191"/>
        <v>136.2972827382105</v>
      </c>
      <c r="V109" s="10">
        <f t="shared" si="191"/>
        <v>103.58111653081636</v>
      </c>
      <c r="W109" s="10">
        <f t="shared" si="191"/>
        <v>119.10353589867373</v>
      </c>
      <c r="X109" s="10">
        <f t="shared" si="191"/>
        <v>281.72340847834266</v>
      </c>
      <c r="Y109" s="10">
        <f t="shared" si="191"/>
        <v>51.358609807338745</v>
      </c>
      <c r="Z109" s="10">
        <f t="shared" si="191"/>
        <v>98.657580538209558</v>
      </c>
      <c r="AA109" s="10">
        <f t="shared" si="191"/>
        <v>38.868955781485376</v>
      </c>
      <c r="AB109" s="10">
        <f t="shared" si="191"/>
        <v>1105.9386923766208</v>
      </c>
      <c r="AC109" s="10">
        <f t="shared" ref="AC109:AD109" si="192">SUM(AC105:AC107)</f>
        <v>60.232544882118233</v>
      </c>
      <c r="AD109" s="10">
        <f t="shared" si="192"/>
        <v>14.814545543971214</v>
      </c>
      <c r="AE109" s="10">
        <f t="shared" si="191"/>
        <v>17.499303362492256</v>
      </c>
      <c r="AF109" s="10">
        <f t="shared" si="191"/>
        <v>8.08066120580248</v>
      </c>
      <c r="AG109" s="10">
        <f t="shared" ref="AG109:AH109" si="193">SUM(AG105:AG107)</f>
        <v>636.6508577217237</v>
      </c>
      <c r="AH109" s="10">
        <f t="shared" si="193"/>
        <v>302.41547295372823</v>
      </c>
      <c r="AI109" s="10">
        <f t="shared" ref="AI109" si="194">SUM(AI105:AI107)</f>
        <v>5662.8826753463363</v>
      </c>
      <c r="AJ109" s="10">
        <f t="shared" ref="AJ109:AO109" si="195">SUM(AJ105:AJ107)</f>
        <v>3930.67</v>
      </c>
      <c r="AK109" s="10">
        <f t="shared" si="195"/>
        <v>770.78053122775918</v>
      </c>
      <c r="AL109" s="10">
        <f t="shared" si="195"/>
        <v>390.61674371886289</v>
      </c>
      <c r="AM109" s="10">
        <f t="shared" si="195"/>
        <v>21.162124911036663</v>
      </c>
      <c r="AN109" s="10">
        <f t="shared" si="195"/>
        <v>508.46484996441467</v>
      </c>
      <c r="AO109" s="10">
        <f t="shared" si="195"/>
        <v>0</v>
      </c>
      <c r="AP109" s="10">
        <f t="shared" si="191"/>
        <v>0</v>
      </c>
      <c r="AQ109" s="10">
        <f t="shared" si="191"/>
        <v>0</v>
      </c>
      <c r="AR109" s="10">
        <f t="shared" si="191"/>
        <v>195.47848758247773</v>
      </c>
      <c r="AS109" s="10">
        <f t="shared" si="191"/>
        <v>52.533754092938295</v>
      </c>
      <c r="AT109" s="10">
        <f t="shared" si="191"/>
        <v>548.40854089182108</v>
      </c>
      <c r="AU109" s="10">
        <f t="shared" si="191"/>
        <v>3162.8645239488901</v>
      </c>
      <c r="AV109" s="10">
        <f t="shared" si="191"/>
        <v>0</v>
      </c>
      <c r="AW109" s="366"/>
      <c r="AX109" s="4">
        <f t="shared" si="178"/>
        <v>0</v>
      </c>
      <c r="AY109" s="10">
        <f t="shared" si="191"/>
        <v>0</v>
      </c>
      <c r="AZ109" s="10">
        <f t="shared" si="191"/>
        <v>0</v>
      </c>
      <c r="BA109" s="10">
        <f t="shared" si="191"/>
        <v>0</v>
      </c>
      <c r="BB109" s="10">
        <f t="shared" si="191"/>
        <v>0</v>
      </c>
      <c r="BC109" s="10">
        <f t="shared" si="191"/>
        <v>0</v>
      </c>
      <c r="BD109" s="10">
        <f t="shared" ref="BD109:BN109" si="196">SUM(BD105:BD107)</f>
        <v>0</v>
      </c>
      <c r="BE109" s="10">
        <f t="shared" si="196"/>
        <v>0</v>
      </c>
      <c r="BF109" s="10">
        <f t="shared" si="196"/>
        <v>0</v>
      </c>
      <c r="BG109" s="10">
        <f t="shared" si="196"/>
        <v>0</v>
      </c>
      <c r="BH109" s="10">
        <f t="shared" si="196"/>
        <v>0</v>
      </c>
      <c r="BI109" s="10">
        <f t="shared" si="196"/>
        <v>0</v>
      </c>
      <c r="BJ109" s="10">
        <f t="shared" si="196"/>
        <v>0</v>
      </c>
      <c r="BK109" s="10">
        <f t="shared" si="196"/>
        <v>0</v>
      </c>
      <c r="BL109" s="10">
        <f t="shared" si="196"/>
        <v>0</v>
      </c>
      <c r="BM109" s="10">
        <f>SUM(BM105:BM108)</f>
        <v>43727.560375749919</v>
      </c>
      <c r="BN109" s="10" t="e">
        <f t="shared" si="196"/>
        <v>#REF!</v>
      </c>
      <c r="BO109" s="85" t="e">
        <f>BM109-BN109</f>
        <v>#REF!</v>
      </c>
      <c r="BS109" s="10" t="e">
        <f t="shared" ref="BS109" si="197">SUM(BS105:BS107)</f>
        <v>#REF!</v>
      </c>
      <c r="BT109" t="s">
        <v>181</v>
      </c>
    </row>
    <row r="110" spans="1:72">
      <c r="A110" s="6" t="s">
        <v>182</v>
      </c>
      <c r="B110" s="19"/>
      <c r="C110" s="82"/>
      <c r="D110" s="82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366"/>
      <c r="AX110" s="8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O110" s="85"/>
      <c r="BS110" s="4"/>
      <c r="BT110" t="s">
        <v>182</v>
      </c>
    </row>
    <row r="111" spans="1:72">
      <c r="A111" s="7" t="s">
        <v>183</v>
      </c>
      <c r="B111" s="285">
        <f>20000+15000+5000</f>
        <v>40000</v>
      </c>
      <c r="C111" s="375">
        <f>SUM(E111:AV111)</f>
        <v>40000</v>
      </c>
      <c r="D111" s="375">
        <v>18708.62</v>
      </c>
      <c r="E111" s="8">
        <v>20000</v>
      </c>
      <c r="F111" s="8">
        <v>0</v>
      </c>
      <c r="G111" s="8">
        <f>20000*75%</f>
        <v>15000</v>
      </c>
      <c r="H111" s="8">
        <f>'June 2025 YTD'!D109*2</f>
        <v>0</v>
      </c>
      <c r="I111" s="8">
        <f>'June 2025 YTD'!E109*2</f>
        <v>0</v>
      </c>
      <c r="J111" s="8">
        <f>'June 2025 YTD'!F109*2</f>
        <v>0</v>
      </c>
      <c r="K111" s="8">
        <f>'June 2025 YTD'!G109*2</f>
        <v>0</v>
      </c>
      <c r="L111" s="8">
        <f>'June 2025 YTD'!H109*2</f>
        <v>0</v>
      </c>
      <c r="M111" s="8">
        <f>'June 2025 YTD'!I109*2</f>
        <v>0</v>
      </c>
      <c r="N111" s="8">
        <f>'June 2025 YTD'!J109*2</f>
        <v>0</v>
      </c>
      <c r="O111" s="8">
        <f>'June 2025 YTD'!K109*2</f>
        <v>0</v>
      </c>
      <c r="P111" s="8">
        <f>'June 2025 YTD'!L109*2</f>
        <v>0</v>
      </c>
      <c r="Q111" s="8">
        <f>'June 2025 YTD'!M109*2</f>
        <v>0</v>
      </c>
      <c r="R111" s="8">
        <f>'June 2025 YTD'!N109*2</f>
        <v>0</v>
      </c>
      <c r="S111" s="8">
        <f>'June 2025 YTD'!O109*2</f>
        <v>0</v>
      </c>
      <c r="T111" s="8">
        <f>'June 2025 YTD'!P109*2</f>
        <v>0</v>
      </c>
      <c r="U111" s="8">
        <f>'June 2025 YTD'!Q109*2</f>
        <v>0</v>
      </c>
      <c r="V111" s="8">
        <f>'June 2025 YTD'!R109*2</f>
        <v>0</v>
      </c>
      <c r="W111" s="8">
        <f>'June 2025 YTD'!S109*2</f>
        <v>0</v>
      </c>
      <c r="X111" s="8">
        <f>'June 2025 YTD'!T109*2</f>
        <v>0</v>
      </c>
      <c r="Y111" s="8">
        <f>'June 2025 YTD'!U109*2</f>
        <v>0</v>
      </c>
      <c r="Z111" s="8">
        <f>'June 2025 YTD'!V109*2</f>
        <v>0</v>
      </c>
      <c r="AA111" s="8">
        <f>'June 2025 YTD'!W109*2</f>
        <v>0</v>
      </c>
      <c r="AB111" s="8">
        <f>'June 2025 YTD'!X109*2</f>
        <v>0</v>
      </c>
      <c r="AC111" s="8">
        <f>'June 2025 YTD'!Y109*2</f>
        <v>0</v>
      </c>
      <c r="AD111" s="8">
        <f>'June 2025 YTD'!Z109*2</f>
        <v>0</v>
      </c>
      <c r="AE111" s="8">
        <f>'June 2025 YTD'!AA109*2</f>
        <v>0</v>
      </c>
      <c r="AF111" s="8">
        <f>'June 2025 YTD'!AB109*2</f>
        <v>0</v>
      </c>
      <c r="AG111" s="8">
        <f>'June 2025 YTD'!AC109*2</f>
        <v>0</v>
      </c>
      <c r="AH111" s="8">
        <f>'June 2025 YTD'!AD109*2</f>
        <v>0</v>
      </c>
      <c r="AI111" s="8">
        <f>'June 2025 YTD'!AE109*2</f>
        <v>0</v>
      </c>
      <c r="AJ111" s="8">
        <f>'June 2025 YTD'!AF109*2</f>
        <v>0</v>
      </c>
      <c r="AK111" s="8">
        <f>'June 2025 YTD'!AG109*2</f>
        <v>0</v>
      </c>
      <c r="AL111" s="8">
        <f>'June 2025 YTD'!AH109*2</f>
        <v>0</v>
      </c>
      <c r="AM111" s="8">
        <f>'June 2025 YTD'!AI109*2</f>
        <v>0</v>
      </c>
      <c r="AN111" s="8">
        <f>'June 2025 YTD'!AJ109*2</f>
        <v>0</v>
      </c>
      <c r="AO111" s="8">
        <f>'June 2025 YTD'!AK109*2</f>
        <v>0</v>
      </c>
      <c r="AP111" s="8">
        <f>'June 2025 YTD'!AL109*2</f>
        <v>0</v>
      </c>
      <c r="AQ111" s="8">
        <f>'June 2025 YTD'!AM109*2</f>
        <v>0</v>
      </c>
      <c r="AR111" s="8">
        <f>'June 2025 YTD'!AN109*2</f>
        <v>0</v>
      </c>
      <c r="AS111" s="8">
        <f>'June 2025 YTD'!AO109*2</f>
        <v>0</v>
      </c>
      <c r="AT111" s="8">
        <f>'June 2025 YTD'!AP109*2</f>
        <v>0</v>
      </c>
      <c r="AU111" s="8">
        <f>'June 2025 YTD'!AQ109*2</f>
        <v>0</v>
      </c>
      <c r="AV111" s="8">
        <f>20000*25%</f>
        <v>5000</v>
      </c>
      <c r="AW111" s="364"/>
      <c r="AX111" s="8">
        <f t="shared" si="178"/>
        <v>0</v>
      </c>
      <c r="AY111" s="8">
        <f t="shared" ref="AY111:BE111" si="198">AY253</f>
        <v>0</v>
      </c>
      <c r="AZ111" s="8">
        <f t="shared" si="198"/>
        <v>0</v>
      </c>
      <c r="BA111" s="8">
        <f t="shared" si="198"/>
        <v>0</v>
      </c>
      <c r="BB111" s="8">
        <f t="shared" si="198"/>
        <v>0</v>
      </c>
      <c r="BC111" s="8">
        <f t="shared" si="198"/>
        <v>0</v>
      </c>
      <c r="BD111" s="8">
        <f t="shared" si="198"/>
        <v>0</v>
      </c>
      <c r="BE111" s="8">
        <f t="shared" si="198"/>
        <v>0</v>
      </c>
      <c r="BF111" s="8">
        <f t="shared" ref="BF111:BL111" si="199">BF253</f>
        <v>0</v>
      </c>
      <c r="BG111" s="8">
        <f t="shared" si="199"/>
        <v>0</v>
      </c>
      <c r="BH111" s="8">
        <v>0</v>
      </c>
      <c r="BI111" s="8">
        <f t="shared" si="199"/>
        <v>0</v>
      </c>
      <c r="BJ111" s="8">
        <f t="shared" si="199"/>
        <v>0</v>
      </c>
      <c r="BK111" s="8">
        <f t="shared" si="199"/>
        <v>0</v>
      </c>
      <c r="BL111" s="8">
        <f t="shared" si="199"/>
        <v>0</v>
      </c>
      <c r="BM111" s="8">
        <f>SUM(B111:BL111)</f>
        <v>138708.62</v>
      </c>
      <c r="BN111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11" s="85" t="e">
        <f>BM111-BN111</f>
        <v>#REF!</v>
      </c>
      <c r="BS111" s="8" t="e">
        <f>SUM(B111:BL111)-#REF!-AV111-AP111-SUM(AY111:BL111)</f>
        <v>#REF!</v>
      </c>
      <c r="BT111" t="s">
        <v>183</v>
      </c>
    </row>
    <row r="112" spans="1:72">
      <c r="A112" s="7" t="s">
        <v>633</v>
      </c>
      <c r="B112" s="285">
        <v>15937.35</v>
      </c>
      <c r="C112" s="375">
        <f t="shared" ref="C112:C113" si="200">SUM(E112:AV112)</f>
        <v>15937.35</v>
      </c>
      <c r="D112" s="375">
        <v>0</v>
      </c>
      <c r="E112" s="8">
        <f>18000-2062.65</f>
        <v>15937.35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8">
        <v>0</v>
      </c>
      <c r="AF112" s="8">
        <v>0</v>
      </c>
      <c r="AG112" s="8">
        <v>0</v>
      </c>
      <c r="AH112" s="8">
        <v>0</v>
      </c>
      <c r="AI112" s="8">
        <v>0</v>
      </c>
      <c r="AJ112" s="8">
        <v>0</v>
      </c>
      <c r="AK112" s="8">
        <v>0</v>
      </c>
      <c r="AL112" s="8">
        <v>0</v>
      </c>
      <c r="AM112" s="8">
        <v>0</v>
      </c>
      <c r="AN112" s="8">
        <v>0</v>
      </c>
      <c r="AO112" s="8">
        <v>0</v>
      </c>
      <c r="AP112" s="8">
        <v>0</v>
      </c>
      <c r="AQ112" s="8">
        <v>0</v>
      </c>
      <c r="AR112" s="8">
        <v>0</v>
      </c>
      <c r="AS112" s="8">
        <v>0</v>
      </c>
      <c r="AT112" s="8">
        <v>0</v>
      </c>
      <c r="AU112" s="8">
        <v>0</v>
      </c>
      <c r="AV112" s="8">
        <v>0</v>
      </c>
      <c r="AW112" s="364"/>
      <c r="AX112" s="8">
        <f t="shared" si="178"/>
        <v>0</v>
      </c>
      <c r="AY112" s="8">
        <v>0</v>
      </c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>
        <f>SUM(B112:BL112)</f>
        <v>47812.05</v>
      </c>
      <c r="BO112" s="85"/>
      <c r="BS112" s="8"/>
    </row>
    <row r="113" spans="1:74">
      <c r="A113" s="7" t="s">
        <v>184</v>
      </c>
      <c r="B113" s="285">
        <v>35500</v>
      </c>
      <c r="C113" s="375">
        <f t="shared" si="200"/>
        <v>35498.247480509381</v>
      </c>
      <c r="D113" s="375">
        <v>29773.03</v>
      </c>
      <c r="E113" s="8">
        <f>$B$113*'2026 Labor Alloc $$'!AX78</f>
        <v>530.0082458487376</v>
      </c>
      <c r="F113" s="8">
        <f>$B$113*'2026 Labor Alloc $$'!AY78</f>
        <v>642.90832508674862</v>
      </c>
      <c r="G113" s="8">
        <f>$B$113*'2026 Labor Alloc $$'!H78+88.74</f>
        <v>4611.1091755665229</v>
      </c>
      <c r="H113" s="8">
        <f>$B$113*'2026 Labor Alloc $$'!I78</f>
        <v>3212.6401632539123</v>
      </c>
      <c r="I113" s="8">
        <f>$B$113*'2026 Labor Alloc $$'!J78</f>
        <v>638.58765986734034</v>
      </c>
      <c r="J113" s="8">
        <f>$B$113*'2026 Labor Alloc $$'!K78</f>
        <v>803.40639087895124</v>
      </c>
      <c r="K113" s="8">
        <f>$B$113*'2026 Labor Alloc $$'!L78</f>
        <v>315.10053175724317</v>
      </c>
      <c r="L113" s="8">
        <f>$B$113*'2026 Labor Alloc $$'!M78</f>
        <v>898.14609351139825</v>
      </c>
      <c r="M113" s="8">
        <f>$B$113*'2026 Labor Alloc $$'!N78</f>
        <v>1567.7895739538012</v>
      </c>
      <c r="N113" s="8">
        <f>$B$113*'2026 Labor Alloc $$'!O78</f>
        <v>4119.5709018248426</v>
      </c>
      <c r="O113" s="8">
        <f>$B$113*'2026 Labor Alloc $$'!P78</f>
        <v>1189.0179899557756</v>
      </c>
      <c r="P113" s="8">
        <f>$B$113*'2026 Labor Alloc $$'!Q78</f>
        <v>127.07891737648509</v>
      </c>
      <c r="Q113" s="8">
        <f>$B$113*'2026 Labor Alloc $$'!R78</f>
        <v>1025.470920089457</v>
      </c>
      <c r="R113" s="8">
        <f>$B$113*'2026 Labor Alloc $$'!S78</f>
        <v>1835.9667889836544</v>
      </c>
      <c r="S113" s="8">
        <f>$B$113*'2026 Labor Alloc $$'!T78</f>
        <v>688.61751901530056</v>
      </c>
      <c r="T113" s="8">
        <f>$B$113*'2026 Labor Alloc $$'!U78</f>
        <v>116.04509417717965</v>
      </c>
      <c r="U113" s="8">
        <f>$B$113*'2026 Labor Alloc $$'!V78</f>
        <v>510.6113905874285</v>
      </c>
      <c r="V113" s="8">
        <f>$B$113*'2026 Labor Alloc $$'!W78</f>
        <v>388.04660582988396</v>
      </c>
      <c r="W113" s="8">
        <f>$B$113*'2026 Labor Alloc $$'!X78</f>
        <v>446.1983457580115</v>
      </c>
      <c r="X113" s="8">
        <f>$B$113*'2026 Labor Alloc $$'!Y78</f>
        <v>1055.42222467087</v>
      </c>
      <c r="Y113" s="8">
        <f>$B$113*'2026 Labor Alloc $$'!Z78</f>
        <v>192.40509161677136</v>
      </c>
      <c r="Z113" s="8">
        <f>$B$113*'2026 Labor Alloc $$'!AA78</f>
        <v>369.60153114251153</v>
      </c>
      <c r="AA113" s="8">
        <f>$B$113*'2026 Labor Alloc $$'!AB78</f>
        <v>145.61502007626962</v>
      </c>
      <c r="AB113" s="8">
        <f>$B$113*'2026 Labor Alloc $$'!AC78-88.74</f>
        <v>2226.247714158932</v>
      </c>
      <c r="AC113" s="8">
        <f>$B$113*'2026 Labor Alloc $$'!AD78</f>
        <v>225.64957189902884</v>
      </c>
      <c r="AD113" s="8">
        <f>$B$113*'2026 Labor Alloc $$'!AE78</f>
        <v>55.499827649955478</v>
      </c>
      <c r="AE113" s="8">
        <f>$B$113*'2026 Labor Alloc $$'!AF78</f>
        <v>65.557753204777867</v>
      </c>
      <c r="AF113" s="8">
        <f>$B$113*'2026 Labor Alloc $$'!AG78-0.25</f>
        <v>30.022633263612079</v>
      </c>
      <c r="AG113" s="8">
        <f>$B$113*'2026 Labor Alloc $$'!AH78</f>
        <v>2122.960157146601</v>
      </c>
      <c r="AH113" s="8">
        <f>$B$113*'2026 Labor Alloc $$'!AI78</f>
        <v>1132.9410394530764</v>
      </c>
      <c r="AI113" s="8">
        <f>$B$113*'2026 Labor Alloc $$'!AJ78</f>
        <v>271.2426102569612</v>
      </c>
      <c r="AJ113" s="8">
        <f>$B$113*'2026 Labor Alloc $$'!AK78</f>
        <v>0</v>
      </c>
      <c r="AK113" s="8">
        <f>$B$113*'2026 Labor Alloc $$'!AL78</f>
        <v>19.819951307033602</v>
      </c>
      <c r="AL113" s="8">
        <f>$B$113*'2026 Labor Alloc $$'!AM78</f>
        <v>27.74793182984704</v>
      </c>
      <c r="AM113" s="8">
        <f>$B$113*'2026 Labor Alloc $$'!AN78-0.63</f>
        <v>78.649805228134412</v>
      </c>
      <c r="AN113" s="8">
        <f>$B$113*'2026 Labor Alloc $$'!AO78-0.26</f>
        <v>31.451922091253756</v>
      </c>
      <c r="AO113" s="8">
        <f>$B$113*'2026 Labor Alloc $$'!AP78</f>
        <v>0</v>
      </c>
      <c r="AP113" s="8">
        <f>$B$113*'2026 Labor Alloc $$'!AQ78</f>
        <v>0</v>
      </c>
      <c r="AQ113" s="8">
        <f>$B$113*'2026 Labor Alloc $$'!AR78</f>
        <v>0</v>
      </c>
      <c r="AR113" s="8">
        <f>$B$113*'2026 Labor Alloc $$'!AS78</f>
        <v>732.3223205126593</v>
      </c>
      <c r="AS113" s="8">
        <f>$B$113*'2026 Labor Alloc $$'!AT78</f>
        <v>196.80754224348982</v>
      </c>
      <c r="AT113" s="8">
        <f>$B$113*'2026 Labor Alloc $$'!AU78</f>
        <v>2054.5064585964169</v>
      </c>
      <c r="AU113" s="8">
        <f>$B$113*'2026 Labor Alloc $$'!AV78</f>
        <v>797.45574083849681</v>
      </c>
      <c r="AV113" s="8">
        <f>$B$113*'2026 Labor Alloc $$'!AW78</f>
        <v>0</v>
      </c>
      <c r="AW113" s="364"/>
      <c r="AX113" s="8">
        <f t="shared" si="178"/>
        <v>0</v>
      </c>
      <c r="AY113" s="8">
        <v>0</v>
      </c>
      <c r="AZ113" s="8">
        <f t="shared" ref="AZ113:BD113" si="201">AZ254</f>
        <v>0</v>
      </c>
      <c r="BA113" s="8">
        <f t="shared" si="201"/>
        <v>0</v>
      </c>
      <c r="BB113" s="8">
        <v>0</v>
      </c>
      <c r="BC113" s="8">
        <f t="shared" si="201"/>
        <v>0</v>
      </c>
      <c r="BD113" s="8">
        <f t="shared" si="201"/>
        <v>0</v>
      </c>
      <c r="BE113" s="8">
        <v>0</v>
      </c>
      <c r="BF113" s="8">
        <v>0</v>
      </c>
      <c r="BG113" s="8">
        <v>0</v>
      </c>
      <c r="BH113" s="8">
        <v>0</v>
      </c>
      <c r="BI113" s="8">
        <v>0</v>
      </c>
      <c r="BJ113" s="8">
        <f t="shared" ref="BJ113:BL113" si="202">BJ254</f>
        <v>0</v>
      </c>
      <c r="BK113" s="8">
        <f t="shared" si="202"/>
        <v>0</v>
      </c>
      <c r="BL113" s="8">
        <f t="shared" si="202"/>
        <v>0</v>
      </c>
      <c r="BM113" s="8">
        <f>SUM(B113:BL113)</f>
        <v>136269.52496101873</v>
      </c>
      <c r="BN113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13" s="85" t="e">
        <f>BM113-BN113</f>
        <v>#REF!</v>
      </c>
      <c r="BS113" s="8" t="e">
        <f>SUM(B113:BL113)-#REF!-AV113-AP113-SUM(AY113:BL113)</f>
        <v>#REF!</v>
      </c>
      <c r="BT113" t="s">
        <v>184</v>
      </c>
    </row>
    <row r="114" spans="1:74">
      <c r="A114" s="9" t="s">
        <v>185</v>
      </c>
      <c r="B114" s="287">
        <f t="shared" ref="B114:AF114" si="203">SUM(B111:B113)</f>
        <v>91437.35</v>
      </c>
      <c r="C114" s="377">
        <f t="shared" si="203"/>
        <v>91435.597480509372</v>
      </c>
      <c r="D114" s="378">
        <f>SUM(D111:D113)</f>
        <v>48481.649999999994</v>
      </c>
      <c r="E114" s="10">
        <f>SUM(E111:E113)</f>
        <v>36467.358245848736</v>
      </c>
      <c r="F114" s="10">
        <f>SUM(F111:F113)</f>
        <v>642.90832508674862</v>
      </c>
      <c r="G114" s="10">
        <f t="shared" si="203"/>
        <v>19611.109175566522</v>
      </c>
      <c r="H114" s="10">
        <f t="shared" si="203"/>
        <v>3212.6401632539123</v>
      </c>
      <c r="I114" s="10">
        <f t="shared" si="203"/>
        <v>638.58765986734034</v>
      </c>
      <c r="J114" s="10">
        <f t="shared" si="203"/>
        <v>803.40639087895124</v>
      </c>
      <c r="K114" s="10">
        <f t="shared" si="203"/>
        <v>315.10053175724317</v>
      </c>
      <c r="L114" s="10">
        <f t="shared" si="203"/>
        <v>898.14609351139825</v>
      </c>
      <c r="M114" s="10">
        <f t="shared" si="203"/>
        <v>1567.7895739538012</v>
      </c>
      <c r="N114" s="10">
        <f t="shared" si="203"/>
        <v>4119.5709018248426</v>
      </c>
      <c r="O114" s="10">
        <f t="shared" si="203"/>
        <v>1189.0179899557756</v>
      </c>
      <c r="P114" s="10">
        <f t="shared" si="203"/>
        <v>127.07891737648509</v>
      </c>
      <c r="Q114" s="10">
        <f t="shared" si="203"/>
        <v>1025.470920089457</v>
      </c>
      <c r="R114" s="10">
        <f t="shared" si="203"/>
        <v>1835.9667889836544</v>
      </c>
      <c r="S114" s="10">
        <f t="shared" si="203"/>
        <v>688.61751901530056</v>
      </c>
      <c r="T114" s="10">
        <f t="shared" si="203"/>
        <v>116.04509417717965</v>
      </c>
      <c r="U114" s="10">
        <f t="shared" si="203"/>
        <v>510.6113905874285</v>
      </c>
      <c r="V114" s="10">
        <f t="shared" si="203"/>
        <v>388.04660582988396</v>
      </c>
      <c r="W114" s="10">
        <f t="shared" si="203"/>
        <v>446.1983457580115</v>
      </c>
      <c r="X114" s="10">
        <f t="shared" si="203"/>
        <v>1055.42222467087</v>
      </c>
      <c r="Y114" s="10">
        <f t="shared" si="203"/>
        <v>192.40509161677136</v>
      </c>
      <c r="Z114" s="10">
        <f t="shared" si="203"/>
        <v>369.60153114251153</v>
      </c>
      <c r="AA114" s="10">
        <f t="shared" si="203"/>
        <v>145.61502007626962</v>
      </c>
      <c r="AB114" s="10">
        <f t="shared" si="203"/>
        <v>2226.247714158932</v>
      </c>
      <c r="AC114" s="10">
        <f t="shared" ref="AC114:AD114" si="204">SUM(AC111:AC113)</f>
        <v>225.64957189902884</v>
      </c>
      <c r="AD114" s="10">
        <f t="shared" si="204"/>
        <v>55.499827649955478</v>
      </c>
      <c r="AE114" s="10">
        <f t="shared" si="203"/>
        <v>65.557753204777867</v>
      </c>
      <c r="AF114" s="10">
        <f t="shared" si="203"/>
        <v>30.022633263612079</v>
      </c>
      <c r="AG114" s="10">
        <f>SUM(AG111:AG113)</f>
        <v>2122.960157146601</v>
      </c>
      <c r="AH114" s="10">
        <f>SUM(AH111:AH113)</f>
        <v>1132.9410394530764</v>
      </c>
      <c r="AI114" s="10">
        <f t="shared" ref="AI114" si="205">SUM(AI111:AI113)</f>
        <v>271.2426102569612</v>
      </c>
      <c r="AJ114" s="10">
        <f t="shared" ref="AJ114:AN114" si="206">SUM(AJ111:AJ113)</f>
        <v>0</v>
      </c>
      <c r="AK114" s="10">
        <f t="shared" si="206"/>
        <v>19.819951307033602</v>
      </c>
      <c r="AL114" s="10">
        <f t="shared" si="206"/>
        <v>27.74793182984704</v>
      </c>
      <c r="AM114" s="10">
        <f t="shared" si="206"/>
        <v>78.649805228134412</v>
      </c>
      <c r="AN114" s="10">
        <f t="shared" si="206"/>
        <v>31.451922091253756</v>
      </c>
      <c r="AO114" s="10">
        <f>SUM(AO111:AO113)</f>
        <v>0</v>
      </c>
      <c r="AP114" s="10">
        <f t="shared" ref="AP114:BC114" si="207">SUM(AP111:AP113)</f>
        <v>0</v>
      </c>
      <c r="AQ114" s="10">
        <f t="shared" si="207"/>
        <v>0</v>
      </c>
      <c r="AR114" s="10">
        <f t="shared" si="207"/>
        <v>732.3223205126593</v>
      </c>
      <c r="AS114" s="10">
        <f t="shared" si="207"/>
        <v>196.80754224348982</v>
      </c>
      <c r="AT114" s="10">
        <f t="shared" si="207"/>
        <v>2054.5064585964169</v>
      </c>
      <c r="AU114" s="10">
        <f t="shared" si="207"/>
        <v>797.45574083849681</v>
      </c>
      <c r="AV114" s="10">
        <f t="shared" si="207"/>
        <v>5000</v>
      </c>
      <c r="AW114" s="366"/>
      <c r="AX114" s="4">
        <f t="shared" si="178"/>
        <v>0</v>
      </c>
      <c r="AY114" s="10">
        <f t="shared" si="207"/>
        <v>0</v>
      </c>
      <c r="AZ114" s="10">
        <f t="shared" si="207"/>
        <v>0</v>
      </c>
      <c r="BA114" s="10">
        <f t="shared" si="207"/>
        <v>0</v>
      </c>
      <c r="BB114" s="10">
        <f t="shared" si="207"/>
        <v>0</v>
      </c>
      <c r="BC114" s="10">
        <f t="shared" si="207"/>
        <v>0</v>
      </c>
      <c r="BD114" s="10">
        <f t="shared" ref="BD114:BN114" si="208">SUM(BD111:BD113)</f>
        <v>0</v>
      </c>
      <c r="BE114" s="10">
        <f t="shared" si="208"/>
        <v>0</v>
      </c>
      <c r="BF114" s="10">
        <f t="shared" si="208"/>
        <v>0</v>
      </c>
      <c r="BG114" s="10">
        <f t="shared" si="208"/>
        <v>0</v>
      </c>
      <c r="BH114" s="10">
        <f t="shared" si="208"/>
        <v>0</v>
      </c>
      <c r="BI114" s="10">
        <f t="shared" si="208"/>
        <v>0</v>
      </c>
      <c r="BJ114" s="10">
        <f t="shared" si="208"/>
        <v>0</v>
      </c>
      <c r="BK114" s="10">
        <f t="shared" si="208"/>
        <v>0</v>
      </c>
      <c r="BL114" s="10">
        <f t="shared" si="208"/>
        <v>0</v>
      </c>
      <c r="BM114" s="10">
        <f t="shared" si="208"/>
        <v>322790.19496101874</v>
      </c>
      <c r="BN114" s="10" t="e">
        <f t="shared" si="208"/>
        <v>#REF!</v>
      </c>
      <c r="BO114" s="85" t="e">
        <f>BM114-BN114</f>
        <v>#REF!</v>
      </c>
      <c r="BS114" s="10" t="e">
        <f t="shared" ref="BS114" si="209">SUM(BS111:BS113)</f>
        <v>#REF!</v>
      </c>
      <c r="BT114" t="s">
        <v>185</v>
      </c>
      <c r="BV114" s="85"/>
    </row>
    <row r="115" spans="1:74">
      <c r="A115" s="6" t="s">
        <v>186</v>
      </c>
      <c r="B115" s="19"/>
      <c r="C115" s="82"/>
      <c r="D115" s="8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366"/>
      <c r="AX115" s="8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O115" s="85"/>
      <c r="BS115" s="4"/>
      <c r="BT115" t="s">
        <v>186</v>
      </c>
    </row>
    <row r="116" spans="1:74">
      <c r="A116" s="7" t="s">
        <v>187</v>
      </c>
      <c r="B116" s="285">
        <v>500</v>
      </c>
      <c r="C116" s="375">
        <f>SUM(E116:AV116)</f>
        <v>500</v>
      </c>
      <c r="D116" s="375">
        <v>785.63</v>
      </c>
      <c r="E116" s="8">
        <v>0</v>
      </c>
      <c r="F116" s="8">
        <v>0</v>
      </c>
      <c r="G116" s="8">
        <f>'June 2025 YTD'!C113*2</f>
        <v>0</v>
      </c>
      <c r="H116" s="8">
        <f>'June 2025 YTD'!D113*2</f>
        <v>0</v>
      </c>
      <c r="I116" s="8">
        <f>'June 2025 YTD'!E113*2</f>
        <v>0</v>
      </c>
      <c r="J116" s="8">
        <f>'June 2025 YTD'!F113*2</f>
        <v>0</v>
      </c>
      <c r="K116" s="8">
        <f>'June 2025 YTD'!G113*2</f>
        <v>0</v>
      </c>
      <c r="L116" s="8">
        <f>'June 2025 YTD'!H113*2</f>
        <v>0</v>
      </c>
      <c r="M116" s="8">
        <f>'June 2025 YTD'!I113*2</f>
        <v>0</v>
      </c>
      <c r="N116" s="8">
        <f>'June 2025 YTD'!J113*2</f>
        <v>0</v>
      </c>
      <c r="O116" s="8">
        <f>'June 2025 YTD'!K113*2</f>
        <v>0</v>
      </c>
      <c r="P116" s="8">
        <f>'June 2025 YTD'!L113*2</f>
        <v>0</v>
      </c>
      <c r="Q116" s="8">
        <f>'June 2025 YTD'!M113*2</f>
        <v>0</v>
      </c>
      <c r="R116" s="8">
        <f>'June 2025 YTD'!N113*2</f>
        <v>0</v>
      </c>
      <c r="S116" s="8">
        <f>'June 2025 YTD'!O113*2</f>
        <v>0</v>
      </c>
      <c r="T116" s="8">
        <f>'June 2025 YTD'!P113*2</f>
        <v>0</v>
      </c>
      <c r="U116" s="8">
        <f>'June 2025 YTD'!Q113*2</f>
        <v>0</v>
      </c>
      <c r="V116" s="8">
        <f>'June 2025 YTD'!R113*2</f>
        <v>0</v>
      </c>
      <c r="W116" s="8">
        <f>'June 2025 YTD'!S113*2</f>
        <v>0</v>
      </c>
      <c r="X116" s="8">
        <f>'June 2025 YTD'!T113*2</f>
        <v>0</v>
      </c>
      <c r="Y116" s="8">
        <f>'June 2025 YTD'!U113*2</f>
        <v>0</v>
      </c>
      <c r="Z116" s="8">
        <f>'June 2025 YTD'!V113*2</f>
        <v>0</v>
      </c>
      <c r="AA116" s="8">
        <f>'June 2025 YTD'!W113*2</f>
        <v>0</v>
      </c>
      <c r="AB116" s="8">
        <f>'June 2025 YTD'!X113*2</f>
        <v>0</v>
      </c>
      <c r="AC116" s="8">
        <f>'June 2025 YTD'!Y113*2</f>
        <v>0</v>
      </c>
      <c r="AD116" s="8">
        <f>'June 2025 YTD'!Z113*2</f>
        <v>0</v>
      </c>
      <c r="AE116" s="8">
        <f>'June 2025 YTD'!AA113*2</f>
        <v>0</v>
      </c>
      <c r="AF116" s="8">
        <f>'June 2025 YTD'!AB113*2</f>
        <v>0</v>
      </c>
      <c r="AG116" s="8">
        <f>'June 2025 YTD'!AC113*2</f>
        <v>0</v>
      </c>
      <c r="AH116" s="8">
        <f>'June 2025 YTD'!AD113*2</f>
        <v>0</v>
      </c>
      <c r="AI116" s="8">
        <f>'June 2025 YTD'!AE113*2</f>
        <v>0</v>
      </c>
      <c r="AJ116" s="8">
        <f>'June 2025 YTD'!AF113*2</f>
        <v>0</v>
      </c>
      <c r="AK116" s="8">
        <f>'June 2025 YTD'!AG113*2</f>
        <v>0</v>
      </c>
      <c r="AL116" s="8">
        <f>'June 2025 YTD'!AH113*2</f>
        <v>0</v>
      </c>
      <c r="AM116" s="8">
        <f>'June 2025 YTD'!AI113*2</f>
        <v>0</v>
      </c>
      <c r="AN116" s="8">
        <f>'June 2025 YTD'!AJ113*2</f>
        <v>0</v>
      </c>
      <c r="AO116" s="8">
        <f>'June 2025 YTD'!AK113*2</f>
        <v>0</v>
      </c>
      <c r="AP116" s="8">
        <f>'June 2025 YTD'!AL113*2</f>
        <v>0</v>
      </c>
      <c r="AQ116" s="8">
        <f>'June 2025 YTD'!AM113*2</f>
        <v>0</v>
      </c>
      <c r="AR116" s="8">
        <f>'June 2025 YTD'!AN113*2</f>
        <v>0</v>
      </c>
      <c r="AS116" s="8">
        <f>'June 2025 YTD'!AO113*2</f>
        <v>0</v>
      </c>
      <c r="AT116" s="8">
        <f>'June 2025 YTD'!AP113*2</f>
        <v>0</v>
      </c>
      <c r="AU116" s="8">
        <v>250</v>
      </c>
      <c r="AV116" s="8">
        <v>250</v>
      </c>
      <c r="AW116" s="364"/>
      <c r="AX116" s="8">
        <f t="shared" si="178"/>
        <v>0</v>
      </c>
      <c r="AY116" s="8">
        <f>('June 2024 YTD'!AV110*2)*1.03</f>
        <v>0</v>
      </c>
      <c r="AZ116" s="8">
        <f>('June 2024 YTD'!AW110*2)*1.03</f>
        <v>0</v>
      </c>
      <c r="BA116" s="8">
        <f>('June 2024 YTD'!AX110*2)*1.03</f>
        <v>0</v>
      </c>
      <c r="BB116" s="8">
        <f>('June 2024 YTD'!AY110*2)*1.03</f>
        <v>0</v>
      </c>
      <c r="BC116" s="8">
        <f>('June 2024 YTD'!AZ110*2)*1.03</f>
        <v>0</v>
      </c>
      <c r="BD116" s="8">
        <v>0</v>
      </c>
      <c r="BE116" s="8">
        <f>('June 2024 YTD'!BB110*2)*1.03</f>
        <v>0</v>
      </c>
      <c r="BF116" s="8">
        <f>('June 2024 YTD'!BC110*2)*1.03</f>
        <v>0</v>
      </c>
      <c r="BG116" s="8">
        <f>('June 2024 YTD'!BD110*2)*1.03</f>
        <v>0</v>
      </c>
      <c r="BH116" s="8">
        <f>('June 2024 YTD'!BE110*2)*1.03</f>
        <v>0</v>
      </c>
      <c r="BI116" s="8">
        <f>('June 2024 YTD'!BF110*2)*1.03</f>
        <v>0</v>
      </c>
      <c r="BJ116" s="8">
        <f>('June 2024 YTD'!BG110*2)*1.03</f>
        <v>0</v>
      </c>
      <c r="BK116" s="8">
        <f>('June 2024 YTD'!BH110*2)*1.03</f>
        <v>0</v>
      </c>
      <c r="BL116" s="8">
        <f>('June 2024 YTD'!BI110*2)*1.03</f>
        <v>0</v>
      </c>
      <c r="BM116" s="8">
        <f>SUM(G116:BL116)</f>
        <v>500</v>
      </c>
      <c r="BN116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16" s="85" t="e">
        <f>BM116-BN116</f>
        <v>#REF!</v>
      </c>
      <c r="BS116" s="8" t="e">
        <f>SUM(B116:BL116)-#REF!-AV116-AP116-SUM(AY116:BL116)</f>
        <v>#REF!</v>
      </c>
      <c r="BT116" t="s">
        <v>187</v>
      </c>
    </row>
    <row r="117" spans="1:74">
      <c r="A117" s="7" t="s">
        <v>188</v>
      </c>
      <c r="B117" s="285">
        <v>12150</v>
      </c>
      <c r="C117" s="375">
        <f t="shared" ref="C117:C119" si="210">SUM(E117:AV117)</f>
        <v>12150</v>
      </c>
      <c r="D117" s="375">
        <v>12000</v>
      </c>
      <c r="E117" s="8">
        <v>0</v>
      </c>
      <c r="F117" s="8">
        <v>0</v>
      </c>
      <c r="G117" s="8">
        <v>12000</v>
      </c>
      <c r="H117" s="8">
        <f>'June 2025 YTD'!D114*2</f>
        <v>0</v>
      </c>
      <c r="I117" s="8">
        <f>'June 2025 YTD'!E114*2</f>
        <v>0</v>
      </c>
      <c r="J117" s="8">
        <f>'June 2025 YTD'!F114*2</f>
        <v>0</v>
      </c>
      <c r="K117" s="8">
        <f>'June 2025 YTD'!G114*2</f>
        <v>0</v>
      </c>
      <c r="L117" s="8">
        <f>'June 2025 YTD'!H114*2</f>
        <v>0</v>
      </c>
      <c r="M117" s="8">
        <f>'June 2025 YTD'!I114*2</f>
        <v>0</v>
      </c>
      <c r="N117" s="8">
        <f>'June 2025 YTD'!J114*2</f>
        <v>0</v>
      </c>
      <c r="O117" s="8">
        <f>'June 2025 YTD'!K114*2</f>
        <v>0</v>
      </c>
      <c r="P117" s="8">
        <f>'June 2025 YTD'!L114*2</f>
        <v>0</v>
      </c>
      <c r="Q117" s="8">
        <f>'June 2025 YTD'!M114*2</f>
        <v>0</v>
      </c>
      <c r="R117" s="8">
        <f>'June 2025 YTD'!N114*2</f>
        <v>0</v>
      </c>
      <c r="S117" s="8">
        <f>'June 2025 YTD'!O114*2</f>
        <v>0</v>
      </c>
      <c r="T117" s="8">
        <f>'June 2025 YTD'!P114*2</f>
        <v>0</v>
      </c>
      <c r="U117" s="8">
        <f>'June 2025 YTD'!Q114*2</f>
        <v>0</v>
      </c>
      <c r="V117" s="8">
        <f>'June 2025 YTD'!R114*2</f>
        <v>0</v>
      </c>
      <c r="W117" s="8">
        <f>'June 2025 YTD'!S114*2</f>
        <v>0</v>
      </c>
      <c r="X117" s="8">
        <f>'June 2025 YTD'!T114*2</f>
        <v>0</v>
      </c>
      <c r="Y117" s="8">
        <f>'June 2025 YTD'!U114*2</f>
        <v>0</v>
      </c>
      <c r="Z117" s="8">
        <f>'June 2025 YTD'!V114*2</f>
        <v>0</v>
      </c>
      <c r="AA117" s="8">
        <f>'June 2025 YTD'!W114*2</f>
        <v>0</v>
      </c>
      <c r="AB117" s="8">
        <f>'June 2025 YTD'!X114*2</f>
        <v>0</v>
      </c>
      <c r="AC117" s="8">
        <f>'June 2025 YTD'!Y114*2</f>
        <v>0</v>
      </c>
      <c r="AD117" s="8">
        <f>'June 2025 YTD'!Z114*2</f>
        <v>0</v>
      </c>
      <c r="AE117" s="8">
        <f>'June 2025 YTD'!AA114*2</f>
        <v>0</v>
      </c>
      <c r="AF117" s="8">
        <f>'June 2025 YTD'!AB114*2</f>
        <v>0</v>
      </c>
      <c r="AG117" s="8">
        <f>'June 2025 YTD'!AC114*2</f>
        <v>0</v>
      </c>
      <c r="AH117" s="8">
        <f>'June 2025 YTD'!AD114*2</f>
        <v>0</v>
      </c>
      <c r="AI117" s="8">
        <f>'June 2025 YTD'!AE114*2</f>
        <v>0</v>
      </c>
      <c r="AJ117" s="8">
        <f>'June 2025 YTD'!AF114*2</f>
        <v>0</v>
      </c>
      <c r="AK117" s="8">
        <f>'June 2025 YTD'!AG114*2</f>
        <v>0</v>
      </c>
      <c r="AL117" s="8">
        <f>'June 2025 YTD'!AH114*2</f>
        <v>0</v>
      </c>
      <c r="AM117" s="8">
        <f>'June 2025 YTD'!AI114*2</f>
        <v>0</v>
      </c>
      <c r="AN117" s="8">
        <f>'June 2025 YTD'!AJ114*2</f>
        <v>0</v>
      </c>
      <c r="AO117" s="8">
        <f>'June 2025 YTD'!AK114*2</f>
        <v>0</v>
      </c>
      <c r="AP117" s="8">
        <f>'June 2025 YTD'!AL114*2</f>
        <v>0</v>
      </c>
      <c r="AQ117" s="8">
        <f>'June 2025 YTD'!AM114*2</f>
        <v>0</v>
      </c>
      <c r="AR117" s="8">
        <f>'June 2025 YTD'!AN114*2</f>
        <v>0</v>
      </c>
      <c r="AS117" s="8">
        <f>'June 2025 YTD'!AO114*2</f>
        <v>0</v>
      </c>
      <c r="AT117" s="8">
        <f>'June 2025 YTD'!AP114*2</f>
        <v>0</v>
      </c>
      <c r="AU117" s="8">
        <f>'June 2025 YTD'!AQ114*2</f>
        <v>0</v>
      </c>
      <c r="AV117" s="8">
        <v>150</v>
      </c>
      <c r="AW117" s="364"/>
      <c r="AX117" s="8">
        <f t="shared" si="178"/>
        <v>0</v>
      </c>
      <c r="AY117" s="8">
        <f>('June 2024 YTD'!AV111*2)*1.03</f>
        <v>0</v>
      </c>
      <c r="AZ117" s="8">
        <f>('June 2024 YTD'!AW111*2)*1.03</f>
        <v>0</v>
      </c>
      <c r="BA117" s="8">
        <f>('June 2024 YTD'!AX111*2)*1.03</f>
        <v>0</v>
      </c>
      <c r="BB117" s="8">
        <f>('June 2024 YTD'!AY111*2)*1.03</f>
        <v>0</v>
      </c>
      <c r="BC117" s="8">
        <f>('June 2024 YTD'!AZ111*2)*1.03</f>
        <v>0</v>
      </c>
      <c r="BD117" s="8">
        <v>0</v>
      </c>
      <c r="BE117" s="8">
        <f>('June 2024 YTD'!BB111*2)*1.03</f>
        <v>0</v>
      </c>
      <c r="BF117" s="8">
        <f>('June 2024 YTD'!BC111*2)*1.03</f>
        <v>0</v>
      </c>
      <c r="BG117" s="8">
        <f>('June 2024 YTD'!BD111*2)*1.03</f>
        <v>0</v>
      </c>
      <c r="BH117" s="8">
        <f>('June 2024 YTD'!BE111*2)*1.03</f>
        <v>0</v>
      </c>
      <c r="BI117" s="8">
        <f>('June 2024 YTD'!BF111*2)*1.03</f>
        <v>0</v>
      </c>
      <c r="BJ117" s="8">
        <f>('June 2024 YTD'!BG111*2)*1.03</f>
        <v>0</v>
      </c>
      <c r="BK117" s="8">
        <f>('June 2024 YTD'!BH111*2)*1.03</f>
        <v>0</v>
      </c>
      <c r="BL117" s="8">
        <f>('June 2024 YTD'!BI111*2)*1.03</f>
        <v>0</v>
      </c>
      <c r="BM117" s="8">
        <f>SUM(G117:BL117)</f>
        <v>12150</v>
      </c>
      <c r="BN117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17" s="85" t="e">
        <f>BM117-BN117</f>
        <v>#REF!</v>
      </c>
      <c r="BS117" s="8" t="e">
        <f>SUM(B117:BL117)-#REF!-AV117-AP117-SUM(AY117:BL117)</f>
        <v>#REF!</v>
      </c>
      <c r="BT117" t="s">
        <v>188</v>
      </c>
    </row>
    <row r="118" spans="1:74">
      <c r="A118" s="7" t="s">
        <v>189</v>
      </c>
      <c r="B118" s="285">
        <v>71200</v>
      </c>
      <c r="C118" s="375">
        <f t="shared" si="210"/>
        <v>71200</v>
      </c>
      <c r="D118" s="375">
        <v>133.94999999999999</v>
      </c>
      <c r="E118" s="8">
        <f>E13*10%</f>
        <v>70000</v>
      </c>
      <c r="F118" s="8">
        <v>0</v>
      </c>
      <c r="G118" s="8">
        <v>1200</v>
      </c>
      <c r="H118" s="8">
        <f>'June 2025 YTD'!D116*2</f>
        <v>0</v>
      </c>
      <c r="I118" s="8">
        <f>'June 2025 YTD'!E116*2</f>
        <v>0</v>
      </c>
      <c r="J118" s="8">
        <f>'June 2025 YTD'!F116*2</f>
        <v>0</v>
      </c>
      <c r="K118" s="8">
        <f>'June 2025 YTD'!G116*2</f>
        <v>0</v>
      </c>
      <c r="L118" s="8">
        <f>'June 2025 YTD'!H116*2</f>
        <v>0</v>
      </c>
      <c r="M118" s="8">
        <f>'June 2025 YTD'!I116*2</f>
        <v>0</v>
      </c>
      <c r="N118" s="8">
        <f>'June 2025 YTD'!J116*2</f>
        <v>0</v>
      </c>
      <c r="O118" s="8">
        <f>'June 2025 YTD'!K116*2</f>
        <v>0</v>
      </c>
      <c r="P118" s="8">
        <f>'June 2025 YTD'!L116*2</f>
        <v>0</v>
      </c>
      <c r="Q118" s="8">
        <f>'June 2025 YTD'!M116*2</f>
        <v>0</v>
      </c>
      <c r="R118" s="8">
        <f>'June 2025 YTD'!N116*2</f>
        <v>0</v>
      </c>
      <c r="S118" s="8">
        <f>'June 2025 YTD'!O116*2</f>
        <v>0</v>
      </c>
      <c r="T118" s="8">
        <f>'June 2025 YTD'!P116*2</f>
        <v>0</v>
      </c>
      <c r="U118" s="8">
        <f>'June 2025 YTD'!Q116*2</f>
        <v>0</v>
      </c>
      <c r="V118" s="8">
        <f>'June 2025 YTD'!R116*2</f>
        <v>0</v>
      </c>
      <c r="W118" s="8">
        <f>'June 2025 YTD'!S116*2</f>
        <v>0</v>
      </c>
      <c r="X118" s="8">
        <f>'June 2025 YTD'!T116*2</f>
        <v>0</v>
      </c>
      <c r="Y118" s="8">
        <f>'June 2025 YTD'!U116*2</f>
        <v>0</v>
      </c>
      <c r="Z118" s="8">
        <f>'June 2025 YTD'!V116*2</f>
        <v>0</v>
      </c>
      <c r="AA118" s="8">
        <f>'June 2025 YTD'!W116*2</f>
        <v>0</v>
      </c>
      <c r="AB118" s="8">
        <f>'June 2025 YTD'!X116*2</f>
        <v>0</v>
      </c>
      <c r="AC118" s="8">
        <f>'June 2025 YTD'!Y116*2</f>
        <v>0</v>
      </c>
      <c r="AD118" s="8">
        <f>'June 2025 YTD'!Z116*2</f>
        <v>0</v>
      </c>
      <c r="AE118" s="8">
        <f>'June 2025 YTD'!AA116*2</f>
        <v>0</v>
      </c>
      <c r="AF118" s="8">
        <f>'June 2025 YTD'!AB116*2</f>
        <v>0</v>
      </c>
      <c r="AG118" s="8">
        <f>'June 2025 YTD'!AC116*2</f>
        <v>0</v>
      </c>
      <c r="AH118" s="8">
        <f>'June 2025 YTD'!AD116*2</f>
        <v>0</v>
      </c>
      <c r="AI118" s="8">
        <f>'June 2025 YTD'!AE116*2</f>
        <v>0</v>
      </c>
      <c r="AJ118" s="8">
        <f>'June 2025 YTD'!AF116*2</f>
        <v>0</v>
      </c>
      <c r="AK118" s="8">
        <f>'June 2025 YTD'!AG116*2</f>
        <v>0</v>
      </c>
      <c r="AL118" s="8">
        <f>'June 2025 YTD'!AH116*2</f>
        <v>0</v>
      </c>
      <c r="AM118" s="8">
        <f>'June 2025 YTD'!AI116*2</f>
        <v>0</v>
      </c>
      <c r="AN118" s="8">
        <f>'June 2025 YTD'!AJ116*2</f>
        <v>0</v>
      </c>
      <c r="AO118" s="8">
        <f>'June 2025 YTD'!AK116*2</f>
        <v>0</v>
      </c>
      <c r="AP118" s="8">
        <f>'June 2025 YTD'!AL116*2</f>
        <v>0</v>
      </c>
      <c r="AQ118" s="8">
        <f>'June 2025 YTD'!AM116*2</f>
        <v>0</v>
      </c>
      <c r="AR118" s="8">
        <f>'June 2025 YTD'!AN116*2</f>
        <v>0</v>
      </c>
      <c r="AS118" s="8">
        <f>'June 2025 YTD'!AO116*2</f>
        <v>0</v>
      </c>
      <c r="AT118" s="8">
        <f>'June 2025 YTD'!AP116*2</f>
        <v>0</v>
      </c>
      <c r="AU118" s="8">
        <f>'June 2025 YTD'!AQ116*2</f>
        <v>0</v>
      </c>
      <c r="AV118" s="8">
        <f>'June 2025 YTD'!AR116*2</f>
        <v>0</v>
      </c>
      <c r="AW118" s="364"/>
      <c r="AX118" s="8">
        <f t="shared" si="178"/>
        <v>0</v>
      </c>
      <c r="AY118" s="8">
        <f>('June 2024 YTD'!AV112*2)*1.03</f>
        <v>0</v>
      </c>
      <c r="AZ118" s="8">
        <f>('June 2024 YTD'!AW112*2)*1.03</f>
        <v>0</v>
      </c>
      <c r="BA118" s="8">
        <f>('June 2024 YTD'!AX112*2)*1.03</f>
        <v>0</v>
      </c>
      <c r="BB118" s="8">
        <f>('June 2024 YTD'!AY112*2)*1.03</f>
        <v>0</v>
      </c>
      <c r="BC118" s="8">
        <f>('June 2024 YTD'!AZ112*2)*1.03</f>
        <v>0</v>
      </c>
      <c r="BD118" s="8">
        <f>('June 2024 YTD'!BA112*2)*1.03</f>
        <v>0</v>
      </c>
      <c r="BE118" s="8">
        <f>('June 2024 YTD'!BB112*2)*1.03</f>
        <v>0</v>
      </c>
      <c r="BF118" s="8">
        <f>('June 2024 YTD'!BC112*2)*1.03</f>
        <v>0</v>
      </c>
      <c r="BG118" s="8">
        <f>('June 2024 YTD'!BD112*2)*1.03</f>
        <v>0</v>
      </c>
      <c r="BH118" s="8">
        <f>('June 2024 YTD'!BE112*2)*1.03</f>
        <v>0</v>
      </c>
      <c r="BI118" s="8">
        <f>('June 2024 YTD'!BF112*2)*1.03</f>
        <v>0</v>
      </c>
      <c r="BJ118" s="8">
        <f>('June 2024 YTD'!BG112*2)*1.03</f>
        <v>0</v>
      </c>
      <c r="BK118" s="8">
        <f>('June 2024 YTD'!BH112*2)*1.03</f>
        <v>0</v>
      </c>
      <c r="BL118" s="8">
        <f>('June 2024 YTD'!BI112*2)*1.03</f>
        <v>0</v>
      </c>
      <c r="BM118" s="8">
        <f>SUM(G118:BL118)</f>
        <v>1200</v>
      </c>
      <c r="BN118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18" s="85" t="e">
        <f>BM118-BN118</f>
        <v>#REF!</v>
      </c>
      <c r="BS118" s="8" t="e">
        <f>SUM(B118:BL118)-#REF!-AV118-AP118-SUM(AY118:BL118)</f>
        <v>#REF!</v>
      </c>
      <c r="BT118" t="s">
        <v>189</v>
      </c>
    </row>
    <row r="119" spans="1:74">
      <c r="A119" s="7" t="s">
        <v>190</v>
      </c>
      <c r="B119" s="362">
        <f>'51320 Small Equip-Software'!C89</f>
        <v>25472.21</v>
      </c>
      <c r="C119" s="375">
        <f t="shared" si="210"/>
        <v>25472.21</v>
      </c>
      <c r="D119" s="375">
        <v>25639.200000000001</v>
      </c>
      <c r="E119" s="8">
        <v>0</v>
      </c>
      <c r="F119" s="8">
        <v>0</v>
      </c>
      <c r="G119" s="8">
        <f>'June 2025 YTD'!C117*2</f>
        <v>0</v>
      </c>
      <c r="H119" s="8">
        <f>'June 2025 YTD'!D117*2</f>
        <v>0</v>
      </c>
      <c r="I119" s="8">
        <f>'June 2025 YTD'!E117*2</f>
        <v>0</v>
      </c>
      <c r="J119" s="8">
        <f>'June 2025 YTD'!F117*2</f>
        <v>0</v>
      </c>
      <c r="K119" s="8">
        <f>'June 2025 YTD'!G117*2</f>
        <v>0</v>
      </c>
      <c r="L119" s="8">
        <f>'June 2025 YTD'!H117*2</f>
        <v>0</v>
      </c>
      <c r="M119" s="8">
        <f>'June 2025 YTD'!I117*2</f>
        <v>0</v>
      </c>
      <c r="N119" s="8">
        <f>'June 2025 YTD'!J117*2</f>
        <v>0</v>
      </c>
      <c r="O119" s="8">
        <f>'June 2025 YTD'!K117*2</f>
        <v>0</v>
      </c>
      <c r="P119" s="8">
        <f>'June 2025 YTD'!L117*2</f>
        <v>0</v>
      </c>
      <c r="Q119" s="8">
        <f>'June 2025 YTD'!M117*2</f>
        <v>0</v>
      </c>
      <c r="R119" s="8">
        <f>'June 2025 YTD'!N117*2</f>
        <v>0</v>
      </c>
      <c r="S119" s="8">
        <f>'June 2025 YTD'!O117*2</f>
        <v>0</v>
      </c>
      <c r="T119" s="8">
        <f>'June 2025 YTD'!P117*2</f>
        <v>0</v>
      </c>
      <c r="U119" s="8">
        <f>'June 2025 YTD'!Q117*2</f>
        <v>0</v>
      </c>
      <c r="V119" s="8">
        <f>'June 2025 YTD'!R117*2</f>
        <v>0</v>
      </c>
      <c r="W119" s="8">
        <f>'June 2025 YTD'!S117*2</f>
        <v>0</v>
      </c>
      <c r="X119" s="8">
        <f>'June 2025 YTD'!T117*2</f>
        <v>0</v>
      </c>
      <c r="Y119" s="8">
        <f>'June 2025 YTD'!U117*2</f>
        <v>0</v>
      </c>
      <c r="Z119" s="8">
        <f>'June 2025 YTD'!V117*2</f>
        <v>0</v>
      </c>
      <c r="AA119" s="8">
        <f>'June 2025 YTD'!W117*2</f>
        <v>0</v>
      </c>
      <c r="AB119" s="8">
        <f>'June 2025 YTD'!X117*2</f>
        <v>0</v>
      </c>
      <c r="AC119" s="8">
        <f>'June 2025 YTD'!Y117*2</f>
        <v>0</v>
      </c>
      <c r="AD119" s="8">
        <f>'June 2025 YTD'!Z117*2</f>
        <v>0</v>
      </c>
      <c r="AE119" s="8">
        <f>'June 2025 YTD'!AA117*2</f>
        <v>0</v>
      </c>
      <c r="AF119" s="8">
        <f>'June 2025 YTD'!AB117*2</f>
        <v>0</v>
      </c>
      <c r="AG119" s="8">
        <f>'June 2025 YTD'!AC117*2</f>
        <v>0</v>
      </c>
      <c r="AH119" s="8">
        <f>'June 2025 YTD'!AD117*2</f>
        <v>0</v>
      </c>
      <c r="AI119" s="8">
        <f>'June 2025 YTD'!AE117*2</f>
        <v>0</v>
      </c>
      <c r="AJ119" s="8">
        <f>'June 2025 YTD'!AF117*2</f>
        <v>0</v>
      </c>
      <c r="AK119" s="8">
        <f>'June 2025 YTD'!AG117*2</f>
        <v>0</v>
      </c>
      <c r="AL119" s="8">
        <f>'June 2025 YTD'!AH117*2</f>
        <v>0</v>
      </c>
      <c r="AM119" s="8">
        <f>'June 2025 YTD'!AI117*2</f>
        <v>0</v>
      </c>
      <c r="AN119" s="8">
        <f>'June 2025 YTD'!AJ117*2</f>
        <v>0</v>
      </c>
      <c r="AO119" s="8">
        <f>'June 2025 YTD'!AK117*2</f>
        <v>0</v>
      </c>
      <c r="AP119" s="8">
        <f>'June 2025 YTD'!AL117*2</f>
        <v>0</v>
      </c>
      <c r="AQ119" s="8">
        <f>'June 2025 YTD'!AM117*2</f>
        <v>0</v>
      </c>
      <c r="AR119" s="8">
        <f>'June 2025 YTD'!AN117*2</f>
        <v>0</v>
      </c>
      <c r="AS119" s="8">
        <f>'June 2025 YTD'!AO117*2</f>
        <v>0</v>
      </c>
      <c r="AT119" s="8">
        <f>'June 2025 YTD'!AP117*2</f>
        <v>0</v>
      </c>
      <c r="AU119" s="8">
        <v>0</v>
      </c>
      <c r="AV119" s="8">
        <v>25472.21</v>
      </c>
      <c r="AW119" s="364"/>
      <c r="AX119" s="8">
        <f t="shared" si="178"/>
        <v>0</v>
      </c>
      <c r="AY119" s="8">
        <f>('June 2024 YTD'!AV113*2)*1.03</f>
        <v>0</v>
      </c>
      <c r="AZ119" s="8">
        <f>('June 2024 YTD'!AW113*2)*1.03</f>
        <v>0</v>
      </c>
      <c r="BA119" s="8">
        <f>('June 2024 YTD'!AX113*2)*1.03</f>
        <v>0</v>
      </c>
      <c r="BB119" s="8">
        <f>('June 2024 YTD'!AY113*2)*1.03</f>
        <v>0</v>
      </c>
      <c r="BC119" s="8">
        <f>('June 2024 YTD'!AZ113*2)*1.03</f>
        <v>0</v>
      </c>
      <c r="BD119" s="8">
        <v>0</v>
      </c>
      <c r="BE119" s="8">
        <f>('June 2024 YTD'!BB113*2)*1.03</f>
        <v>0</v>
      </c>
      <c r="BF119" s="8">
        <f>('June 2024 YTD'!BC113*2)*1.03</f>
        <v>0</v>
      </c>
      <c r="BG119" s="8">
        <f>('June 2024 YTD'!BD113*2)*1.03</f>
        <v>0</v>
      </c>
      <c r="BH119" s="8">
        <f>('June 2024 YTD'!BE113*2)*1.03</f>
        <v>0</v>
      </c>
      <c r="BI119" s="8">
        <f>('June 2024 YTD'!BF113*2)*1.03</f>
        <v>0</v>
      </c>
      <c r="BJ119" s="8">
        <f>('June 2024 YTD'!BG113*2)*1.03</f>
        <v>0</v>
      </c>
      <c r="BK119" s="8">
        <f>('June 2024 YTD'!BH113*2)*1.03</f>
        <v>0</v>
      </c>
      <c r="BL119" s="8">
        <f>('June 2024 YTD'!BI113*2)*1.03</f>
        <v>0</v>
      </c>
      <c r="BM119" s="8">
        <f>SUM(G119:BL119)</f>
        <v>25472.21</v>
      </c>
      <c r="BN119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19" s="85" t="e">
        <f>BM119-BN119</f>
        <v>#REF!</v>
      </c>
      <c r="BS119" s="8" t="e">
        <f>SUM(B119:BL119)-#REF!-AV119-AP119-SUM(AY119:BL119)</f>
        <v>#REF!</v>
      </c>
      <c r="BT119" t="s">
        <v>190</v>
      </c>
    </row>
    <row r="120" spans="1:74">
      <c r="A120" s="9" t="s">
        <v>191</v>
      </c>
      <c r="B120" s="287">
        <f t="shared" ref="B120:BC120" si="211">SUM(B116:B119)</f>
        <v>109322.20999999999</v>
      </c>
      <c r="C120" s="377">
        <f t="shared" si="211"/>
        <v>109322.20999999999</v>
      </c>
      <c r="D120" s="378">
        <f>SUM(D116:D119)</f>
        <v>38558.78</v>
      </c>
      <c r="E120" s="10">
        <f>SUM(E116:E119)</f>
        <v>70000</v>
      </c>
      <c r="F120" s="10">
        <f>SUM(F116:F119)</f>
        <v>0</v>
      </c>
      <c r="G120" s="10">
        <f t="shared" si="211"/>
        <v>13200</v>
      </c>
      <c r="H120" s="10">
        <f t="shared" si="211"/>
        <v>0</v>
      </c>
      <c r="I120" s="10">
        <f t="shared" si="211"/>
        <v>0</v>
      </c>
      <c r="J120" s="10">
        <f t="shared" si="211"/>
        <v>0</v>
      </c>
      <c r="K120" s="10">
        <f t="shared" si="211"/>
        <v>0</v>
      </c>
      <c r="L120" s="10">
        <f t="shared" si="211"/>
        <v>0</v>
      </c>
      <c r="M120" s="10">
        <f t="shared" si="211"/>
        <v>0</v>
      </c>
      <c r="N120" s="10">
        <f t="shared" si="211"/>
        <v>0</v>
      </c>
      <c r="O120" s="10">
        <f t="shared" si="211"/>
        <v>0</v>
      </c>
      <c r="P120" s="10">
        <f t="shared" si="211"/>
        <v>0</v>
      </c>
      <c r="Q120" s="10">
        <f t="shared" si="211"/>
        <v>0</v>
      </c>
      <c r="R120" s="10">
        <f t="shared" si="211"/>
        <v>0</v>
      </c>
      <c r="S120" s="10">
        <f t="shared" si="211"/>
        <v>0</v>
      </c>
      <c r="T120" s="10">
        <f t="shared" si="211"/>
        <v>0</v>
      </c>
      <c r="U120" s="10">
        <f t="shared" si="211"/>
        <v>0</v>
      </c>
      <c r="V120" s="10">
        <f t="shared" si="211"/>
        <v>0</v>
      </c>
      <c r="W120" s="10">
        <f t="shared" si="211"/>
        <v>0</v>
      </c>
      <c r="X120" s="10">
        <f t="shared" si="211"/>
        <v>0</v>
      </c>
      <c r="Y120" s="10">
        <f t="shared" si="211"/>
        <v>0</v>
      </c>
      <c r="Z120" s="10">
        <f t="shared" si="211"/>
        <v>0</v>
      </c>
      <c r="AA120" s="10">
        <f t="shared" si="211"/>
        <v>0</v>
      </c>
      <c r="AB120" s="10">
        <f t="shared" si="211"/>
        <v>0</v>
      </c>
      <c r="AC120" s="10">
        <f t="shared" ref="AC120:AD120" si="212">SUM(AC116:AC119)</f>
        <v>0</v>
      </c>
      <c r="AD120" s="10">
        <f t="shared" si="212"/>
        <v>0</v>
      </c>
      <c r="AE120" s="10">
        <f t="shared" si="211"/>
        <v>0</v>
      </c>
      <c r="AF120" s="10">
        <f t="shared" si="211"/>
        <v>0</v>
      </c>
      <c r="AG120" s="10">
        <f t="shared" ref="AG120:AH120" si="213">SUM(AG116:AG119)</f>
        <v>0</v>
      </c>
      <c r="AH120" s="10">
        <f t="shared" si="213"/>
        <v>0</v>
      </c>
      <c r="AI120" s="10">
        <f t="shared" ref="AI120" si="214">SUM(AI116:AI119)</f>
        <v>0</v>
      </c>
      <c r="AJ120" s="10">
        <f t="shared" ref="AJ120:AO120" si="215">SUM(AJ116:AJ119)</f>
        <v>0</v>
      </c>
      <c r="AK120" s="10">
        <f t="shared" si="215"/>
        <v>0</v>
      </c>
      <c r="AL120" s="10">
        <f t="shared" si="215"/>
        <v>0</v>
      </c>
      <c r="AM120" s="10">
        <f t="shared" si="215"/>
        <v>0</v>
      </c>
      <c r="AN120" s="10">
        <f t="shared" si="215"/>
        <v>0</v>
      </c>
      <c r="AO120" s="10">
        <f t="shared" si="215"/>
        <v>0</v>
      </c>
      <c r="AP120" s="10">
        <f t="shared" si="211"/>
        <v>0</v>
      </c>
      <c r="AQ120" s="10">
        <f t="shared" si="211"/>
        <v>0</v>
      </c>
      <c r="AR120" s="10">
        <f t="shared" si="211"/>
        <v>0</v>
      </c>
      <c r="AS120" s="10">
        <f t="shared" si="211"/>
        <v>0</v>
      </c>
      <c r="AT120" s="10">
        <f t="shared" si="211"/>
        <v>0</v>
      </c>
      <c r="AU120" s="10">
        <f t="shared" si="211"/>
        <v>250</v>
      </c>
      <c r="AV120" s="10">
        <f t="shared" si="211"/>
        <v>25872.21</v>
      </c>
      <c r="AW120" s="366"/>
      <c r="AX120" s="4">
        <f t="shared" si="178"/>
        <v>0</v>
      </c>
      <c r="AY120" s="10">
        <f t="shared" si="211"/>
        <v>0</v>
      </c>
      <c r="AZ120" s="10">
        <f t="shared" si="211"/>
        <v>0</v>
      </c>
      <c r="BA120" s="10">
        <f t="shared" si="211"/>
        <v>0</v>
      </c>
      <c r="BB120" s="10">
        <f t="shared" si="211"/>
        <v>0</v>
      </c>
      <c r="BC120" s="10">
        <f t="shared" si="211"/>
        <v>0</v>
      </c>
      <c r="BD120" s="10">
        <f t="shared" ref="BD120:BN120" si="216">SUM(BD116:BD119)</f>
        <v>0</v>
      </c>
      <c r="BE120" s="10">
        <f t="shared" si="216"/>
        <v>0</v>
      </c>
      <c r="BF120" s="10">
        <f t="shared" si="216"/>
        <v>0</v>
      </c>
      <c r="BG120" s="10">
        <f t="shared" si="216"/>
        <v>0</v>
      </c>
      <c r="BH120" s="10">
        <f t="shared" si="216"/>
        <v>0</v>
      </c>
      <c r="BI120" s="10">
        <f t="shared" si="216"/>
        <v>0</v>
      </c>
      <c r="BJ120" s="10">
        <f t="shared" si="216"/>
        <v>0</v>
      </c>
      <c r="BK120" s="10">
        <f t="shared" si="216"/>
        <v>0</v>
      </c>
      <c r="BL120" s="10">
        <f t="shared" si="216"/>
        <v>0</v>
      </c>
      <c r="BM120" s="10">
        <f t="shared" si="216"/>
        <v>39322.21</v>
      </c>
      <c r="BN120" s="10" t="e">
        <f t="shared" si="216"/>
        <v>#REF!</v>
      </c>
      <c r="BO120" s="85" t="e">
        <f>BM120-BN120</f>
        <v>#REF!</v>
      </c>
      <c r="BS120" s="10" t="e">
        <f t="shared" ref="BS120" si="217">SUM(BS116:BS119)</f>
        <v>#REF!</v>
      </c>
      <c r="BT120" t="s">
        <v>191</v>
      </c>
    </row>
    <row r="121" spans="1:74">
      <c r="A121" s="6" t="s">
        <v>192</v>
      </c>
      <c r="B121" s="19"/>
      <c r="C121" s="82"/>
      <c r="D121" s="8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366"/>
      <c r="AX121" s="8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O121" s="85"/>
      <c r="BS121" s="4"/>
      <c r="BT121" t="s">
        <v>192</v>
      </c>
    </row>
    <row r="122" spans="1:74">
      <c r="A122" s="7" t="s">
        <v>193</v>
      </c>
      <c r="B122" s="285">
        <v>3100</v>
      </c>
      <c r="C122" s="375">
        <f>SUM(E122:AV122)</f>
        <v>3100.7065123825082</v>
      </c>
      <c r="D122" s="375">
        <v>143.19999999999999</v>
      </c>
      <c r="E122" s="8">
        <f>$B$122*'2026 Labor Alloc $$'!AX78</f>
        <v>46.282410200875681</v>
      </c>
      <c r="F122" s="8">
        <f>$B$122*'2026 Labor Alloc $$'!AY78</f>
        <v>56.141290359687908</v>
      </c>
      <c r="G122" s="8">
        <f>$B$122*'2026 Labor Alloc $$'!H78+0.76</f>
        <v>395.67111110580908</v>
      </c>
      <c r="H122" s="8">
        <f>$B$122*'2026 Labor Alloc $$'!I78</f>
        <v>280.54040862217261</v>
      </c>
      <c r="I122" s="8">
        <f>$B$122*'2026 Labor Alloc $$'!J78</f>
        <v>55.763992833486057</v>
      </c>
      <c r="J122" s="8">
        <f>$B$122*'2026 Labor Alloc $$'!K78</f>
        <v>70.156614414781657</v>
      </c>
      <c r="K122" s="8">
        <f>$B$122*'2026 Labor Alloc $$'!L78</f>
        <v>27.515821083026871</v>
      </c>
      <c r="L122" s="8">
        <f>$B$122*'2026 Labor Alloc $$'!M78</f>
        <v>78.429658870009419</v>
      </c>
      <c r="M122" s="8">
        <f>$B$122*'2026 Labor Alloc $$'!N78</f>
        <v>136.90556842976858</v>
      </c>
      <c r="N122" s="8">
        <f>$B$122*'2026 Labor Alloc $$'!O78</f>
        <v>359.73717734245105</v>
      </c>
      <c r="O122" s="8">
        <f>$B$122*'2026 Labor Alloc $$'!P78</f>
        <v>103.82973996796913</v>
      </c>
      <c r="P122" s="8">
        <f>$B$122*'2026 Labor Alloc $$'!Q78</f>
        <v>11.097032221608558</v>
      </c>
      <c r="Q122" s="8">
        <f>$B$122*'2026 Labor Alloc $$'!R78</f>
        <v>89.548164852882167</v>
      </c>
      <c r="R122" s="8">
        <f>$B$122*'2026 Labor Alloc $$'!S78</f>
        <v>160.32386044645995</v>
      </c>
      <c r="S122" s="8">
        <f>$B$122*'2026 Labor Alloc $$'!T78</f>
        <v>60.132797435138919</v>
      </c>
      <c r="T122" s="8">
        <f>$B$122*'2026 Labor Alloc $$'!U78</f>
        <v>10.13351526617625</v>
      </c>
      <c r="U122" s="8">
        <f>$B$122*'2026 Labor Alloc $$'!V78</f>
        <v>44.588600304817703</v>
      </c>
      <c r="V122" s="8">
        <f>$B$122*'2026 Labor Alloc $$'!W78</f>
        <v>33.88575994570818</v>
      </c>
      <c r="W122" s="8">
        <f>$B$122*'2026 Labor Alloc $$'!X78</f>
        <v>38.963799207037624</v>
      </c>
      <c r="X122" s="8">
        <f>$B$122*'2026 Labor Alloc $$'!Y78</f>
        <v>92.163630886752031</v>
      </c>
      <c r="Y122" s="8">
        <f>$B$122*'2026 Labor Alloc $$'!Z78</f>
        <v>16.801571380619471</v>
      </c>
      <c r="Z122" s="8">
        <f>$B$122*'2026 Labor Alloc $$'!AA78</f>
        <v>32.275063282867208</v>
      </c>
      <c r="AA122" s="8">
        <f>$B$122*'2026 Labor Alloc $$'!AB78</f>
        <v>12.715677809477064</v>
      </c>
      <c r="AB122" s="8">
        <f>$B$122*'2026 Labor Alloc $$'!AC78</f>
        <v>202.15385672937154</v>
      </c>
      <c r="AC122" s="8">
        <f>$B$122*'2026 Labor Alloc $$'!AD78</f>
        <v>19.704610503858856</v>
      </c>
      <c r="AD122" s="8">
        <f>$B$122*'2026 Labor Alloc $$'!AE78</f>
        <v>4.8464638229538588</v>
      </c>
      <c r="AE122" s="8">
        <f>$B$122*'2026 Labor Alloc $$'!AF78</f>
        <v>5.724761547459476</v>
      </c>
      <c r="AF122" s="8">
        <f>$B$122*'2026 Labor Alloc $$'!AG78</f>
        <v>2.6435257216111956</v>
      </c>
      <c r="AG122" s="8">
        <f>$B$122*'2026 Labor Alloc $$'!AH78</f>
        <v>185.38525315928064</v>
      </c>
      <c r="AH122" s="8">
        <f>$B$122*'2026 Labor Alloc $$'!AI78</f>
        <v>98.932879501536249</v>
      </c>
      <c r="AI122" s="8">
        <f>$B$122*'2026 Labor Alloc $$'!AJ78</f>
        <v>23.685974416805063</v>
      </c>
      <c r="AJ122" s="8">
        <f>$B$122*'2026 Labor Alloc $$'!AK78</f>
        <v>0</v>
      </c>
      <c r="AK122" s="8">
        <f>$B$122*'2026 Labor Alloc $$'!AL78</f>
        <v>1.730756311318427</v>
      </c>
      <c r="AL122" s="8">
        <f>$B$122*'2026 Labor Alloc $$'!AM78</f>
        <v>2.4230588358457976</v>
      </c>
      <c r="AM122" s="8">
        <f>$B$122*'2026 Labor Alloc $$'!AN78</f>
        <v>6.923025245273708</v>
      </c>
      <c r="AN122" s="8">
        <f>$B$122*'2026 Labor Alloc $$'!AO78</f>
        <v>2.7692100981094834</v>
      </c>
      <c r="AO122" s="8">
        <f>$B$122*'2026 Labor Alloc $$'!AP78</f>
        <v>0</v>
      </c>
      <c r="AP122" s="8">
        <f>$B$122*'2026 Labor Alloc $$'!AQ78</f>
        <v>0</v>
      </c>
      <c r="AQ122" s="8">
        <f>$B$122*'2026 Labor Alloc $$'!AR78</f>
        <v>0</v>
      </c>
      <c r="AR122" s="8">
        <f>$B$122*'2026 Labor Alloc $$'!AS78</f>
        <v>63.949273058851936</v>
      </c>
      <c r="AS122" s="8">
        <f>$B$122*'2026 Labor Alloc $$'!AT78</f>
        <v>17.186010731121645</v>
      </c>
      <c r="AT122" s="8">
        <f>$B$122*'2026 Labor Alloc $$'!AU78</f>
        <v>179.40760624363077</v>
      </c>
      <c r="AU122" s="8">
        <f>$B$122*'2026 Labor Alloc $$'!AV78</f>
        <v>69.636980185896903</v>
      </c>
      <c r="AV122" s="8">
        <f>$B$122*'2026 Labor Alloc $$'!AW78</f>
        <v>0</v>
      </c>
      <c r="AW122" s="364"/>
      <c r="AX122" s="8">
        <f t="shared" si="178"/>
        <v>0</v>
      </c>
      <c r="AY122" s="8">
        <f>('June 2024 YTD'!BI116*2)*1.03</f>
        <v>0</v>
      </c>
      <c r="AZ122" s="8">
        <f>('June 2024 YTD'!BJ116*2)*1.03</f>
        <v>0</v>
      </c>
      <c r="BA122" s="8">
        <f>('June 2024 YTD'!BK116*2)*1.03</f>
        <v>0</v>
      </c>
      <c r="BB122" s="8">
        <f>('June 2024 YTD'!BL116*2)*1.03</f>
        <v>0</v>
      </c>
      <c r="BC122" s="8">
        <f>('June 2024 YTD'!BM116*2)*1.03</f>
        <v>0</v>
      </c>
      <c r="BD122" s="8">
        <f>('June 2024 YTD'!BN116*2)*1.03</f>
        <v>0</v>
      </c>
      <c r="BE122" s="8">
        <f>('June 2024 YTD'!BO116*2)*1.03</f>
        <v>0</v>
      </c>
      <c r="BF122" s="8">
        <f>('June 2024 YTD'!BP116*2)*1.03</f>
        <v>0</v>
      </c>
      <c r="BG122" s="8">
        <f>('June 2024 YTD'!BQ116*2)*1.03</f>
        <v>0</v>
      </c>
      <c r="BH122" s="8">
        <f>('June 2024 YTD'!BR116*2)*1.03</f>
        <v>0</v>
      </c>
      <c r="BI122" s="8">
        <f>('June 2024 YTD'!BS116*2)*1.03</f>
        <v>0</v>
      </c>
      <c r="BJ122" s="8">
        <f>('June 2024 YTD'!BT116*2)*1.03</f>
        <v>0</v>
      </c>
      <c r="BK122" s="8">
        <f>('June 2024 YTD'!BU116*2)*1.03</f>
        <v>0</v>
      </c>
      <c r="BL122" s="8">
        <f>('June 2024 YTD'!BV116*2)*1.03</f>
        <v>0</v>
      </c>
      <c r="BM122" s="8">
        <f>SUM(B122:BL122)</f>
        <v>9444.6130247650181</v>
      </c>
      <c r="BN122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22" s="85" t="e">
        <f>BM122-BN122</f>
        <v>#REF!</v>
      </c>
      <c r="BS122" s="8" t="e">
        <f>SUM(B122:BL122)-#REF!-AV122-AP122-SUM(AY122:BL122)</f>
        <v>#REF!</v>
      </c>
      <c r="BT122" t="s">
        <v>193</v>
      </c>
    </row>
    <row r="123" spans="1:74">
      <c r="A123" s="7" t="s">
        <v>634</v>
      </c>
      <c r="B123" s="285">
        <v>1800</v>
      </c>
      <c r="C123" s="375">
        <f>SUM(E123:AV123)</f>
        <v>1799.9689426737152</v>
      </c>
      <c r="D123" s="375">
        <v>1351.97</v>
      </c>
      <c r="E123" s="8">
        <f>$B$123*'2026 Labor Alloc $$'!AX78</f>
        <v>26.873657535992329</v>
      </c>
      <c r="F123" s="8">
        <f>$B$123*'2026 Labor Alloc $$'!AY78</f>
        <v>32.598168595947818</v>
      </c>
      <c r="G123" s="8">
        <f>$B$123*'2026 Labor Alloc $$'!H78</f>
        <v>229.30322580337301</v>
      </c>
      <c r="H123" s="8">
        <f>$B$123*'2026 Labor Alloc $$'!I78</f>
        <v>162.89443081287442</v>
      </c>
      <c r="I123" s="8">
        <f>$B$123*'2026 Labor Alloc $$'!J78</f>
        <v>32.379092612991904</v>
      </c>
      <c r="J123" s="8">
        <f>$B$123*'2026 Labor Alloc $$'!K78</f>
        <v>40.736098692453865</v>
      </c>
      <c r="K123" s="8">
        <f>$B$123*'2026 Labor Alloc $$'!L78</f>
        <v>15.976928370789796</v>
      </c>
      <c r="L123" s="8">
        <f>$B$123*'2026 Labor Alloc $$'!M78</f>
        <v>45.539801924521598</v>
      </c>
      <c r="M123" s="8">
        <f>$B$123*'2026 Labor Alloc $$'!N78</f>
        <v>79.493555862446257</v>
      </c>
      <c r="N123" s="8">
        <f>$B$123*'2026 Labor Alloc $$'!O78</f>
        <v>208.87965136013287</v>
      </c>
      <c r="O123" s="8">
        <f>$B$123*'2026 Labor Alloc $$'!P78</f>
        <v>60.288236110433694</v>
      </c>
      <c r="P123" s="8">
        <f>$B$123*'2026 Labor Alloc $$'!Q78</f>
        <v>6.4434380641598077</v>
      </c>
      <c r="Q123" s="8">
        <f>$B$123*'2026 Labor Alloc $$'!R78</f>
        <v>51.995708624254156</v>
      </c>
      <c r="R123" s="8">
        <f>$B$123*'2026 Labor Alloc $$'!S78</f>
        <v>93.091273807621903</v>
      </c>
      <c r="S123" s="8">
        <f>$B$123*'2026 Labor Alloc $$'!T78</f>
        <v>34.915817865564534</v>
      </c>
      <c r="T123" s="8">
        <f>$B$123*'2026 Labor Alloc $$'!U78</f>
        <v>5.883976606166855</v>
      </c>
      <c r="U123" s="8">
        <f>$B$123*'2026 Labor Alloc $$'!V78</f>
        <v>25.8901550157006</v>
      </c>
      <c r="V123" s="8">
        <f>$B$123*'2026 Labor Alloc $$'!W78</f>
        <v>19.675602549120878</v>
      </c>
      <c r="W123" s="8">
        <f>$B$123*'2026 Labor Alloc $$'!X78</f>
        <v>22.624141475054106</v>
      </c>
      <c r="X123" s="8">
        <f>$B$123*'2026 Labor Alloc $$'!Y78</f>
        <v>53.514366321339885</v>
      </c>
      <c r="Y123" s="8">
        <f>$B$123*'2026 Labor Alloc $$'!Z78</f>
        <v>9.7557511242306614</v>
      </c>
      <c r="Z123" s="8">
        <f>$B$123*'2026 Labor Alloc $$'!AA78</f>
        <v>18.740359325535795</v>
      </c>
      <c r="AA123" s="8">
        <f>$B$123*'2026 Labor Alloc $$'!AB78</f>
        <v>7.3832967925995856</v>
      </c>
      <c r="AB123" s="8">
        <f>$B$123*'2026 Labor Alloc $$'!AC78</f>
        <v>117.37965874608669</v>
      </c>
      <c r="AC123" s="8">
        <f>$B$123*'2026 Labor Alloc $$'!AD78</f>
        <v>11.441386744176111</v>
      </c>
      <c r="AD123" s="8">
        <f>$B$123*'2026 Labor Alloc $$'!AE78</f>
        <v>2.8140757681667568</v>
      </c>
      <c r="AE123" s="8">
        <f>$B$123*'2026 Labor Alloc $$'!AF78</f>
        <v>3.3240550920732437</v>
      </c>
      <c r="AF123" s="8">
        <f>$B$123*'2026 Labor Alloc $$'!AG78</f>
        <v>1.5349504190000491</v>
      </c>
      <c r="AG123" s="8">
        <f>$B$123*'2026 Labor Alloc $$'!AH78</f>
        <v>107.64305022151778</v>
      </c>
      <c r="AH123" s="8">
        <f>$B$123*'2026 Labor Alloc $$'!AI78</f>
        <v>57.444897775085565</v>
      </c>
      <c r="AI123" s="8">
        <f>$B$123*'2026 Labor Alloc $$'!AJ78</f>
        <v>13.753146435564229</v>
      </c>
      <c r="AJ123" s="8">
        <f>$B$123*'2026 Labor Alloc $$'!AK78</f>
        <v>0</v>
      </c>
      <c r="AK123" s="8">
        <f>$B$123*'2026 Labor Alloc $$'!AL78</f>
        <v>1.0049552775397319</v>
      </c>
      <c r="AL123" s="8">
        <f>$B$123*'2026 Labor Alloc $$'!AM78</f>
        <v>1.4069373885556244</v>
      </c>
      <c r="AM123" s="8">
        <f>$B$123*'2026 Labor Alloc $$'!AN78</f>
        <v>4.0198211101589276</v>
      </c>
      <c r="AN123" s="8">
        <f>$B$123*'2026 Labor Alloc $$'!AO78</f>
        <v>1.6079284440635708</v>
      </c>
      <c r="AO123" s="8">
        <f>$B$123*'2026 Labor Alloc $$'!AP78</f>
        <v>0</v>
      </c>
      <c r="AP123" s="8">
        <f>$B$123*'2026 Labor Alloc $$'!AQ78</f>
        <v>0</v>
      </c>
      <c r="AQ123" s="8">
        <f>$B$123*'2026 Labor Alloc $$'!AR78</f>
        <v>0</v>
      </c>
      <c r="AR123" s="8">
        <f>$B$123*'2026 Labor Alloc $$'!AS78</f>
        <v>37.131835969655967</v>
      </c>
      <c r="AS123" s="8">
        <f>$B$123*'2026 Labor Alloc $$'!AT78</f>
        <v>9.9789739729093423</v>
      </c>
      <c r="AT123" s="8">
        <f>$B$123*'2026 Labor Alloc $$'!AU78</f>
        <v>104.17215846404368</v>
      </c>
      <c r="AU123" s="8">
        <f>$B$123*'2026 Labor Alloc $$'!AV78</f>
        <v>40.434375591811104</v>
      </c>
      <c r="AV123" s="8">
        <f>$B$123*'2026 Labor Alloc $$'!AW78</f>
        <v>0</v>
      </c>
      <c r="AW123" s="364"/>
      <c r="AX123" s="8">
        <f t="shared" si="178"/>
        <v>0</v>
      </c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O123" s="85"/>
      <c r="BS123" s="8"/>
    </row>
    <row r="124" spans="1:74">
      <c r="A124" s="9" t="s">
        <v>194</v>
      </c>
      <c r="B124" s="287">
        <f t="shared" ref="B124:AI124" si="218">SUM(B122)</f>
        <v>3100</v>
      </c>
      <c r="C124" s="377">
        <f t="shared" si="218"/>
        <v>3100.7065123825082</v>
      </c>
      <c r="D124" s="378">
        <f>SUM(D122:D123)</f>
        <v>1495.17</v>
      </c>
      <c r="E124" s="10">
        <f>SUM(E122)</f>
        <v>46.282410200875681</v>
      </c>
      <c r="F124" s="10">
        <f>SUM(F122:F123)</f>
        <v>88.739458955635726</v>
      </c>
      <c r="G124" s="10">
        <f t="shared" si="218"/>
        <v>395.67111110580908</v>
      </c>
      <c r="H124" s="10">
        <f t="shared" si="218"/>
        <v>280.54040862217261</v>
      </c>
      <c r="I124" s="10">
        <f t="shared" si="218"/>
        <v>55.763992833486057</v>
      </c>
      <c r="J124" s="10">
        <f t="shared" si="218"/>
        <v>70.156614414781657</v>
      </c>
      <c r="K124" s="10">
        <f t="shared" si="218"/>
        <v>27.515821083026871</v>
      </c>
      <c r="L124" s="10">
        <f t="shared" si="218"/>
        <v>78.429658870009419</v>
      </c>
      <c r="M124" s="10">
        <f t="shared" si="218"/>
        <v>136.90556842976858</v>
      </c>
      <c r="N124" s="10">
        <f t="shared" si="218"/>
        <v>359.73717734245105</v>
      </c>
      <c r="O124" s="10">
        <f t="shared" si="218"/>
        <v>103.82973996796913</v>
      </c>
      <c r="P124" s="10">
        <f t="shared" si="218"/>
        <v>11.097032221608558</v>
      </c>
      <c r="Q124" s="10">
        <f t="shared" si="218"/>
        <v>89.548164852882167</v>
      </c>
      <c r="R124" s="10">
        <f t="shared" si="218"/>
        <v>160.32386044645995</v>
      </c>
      <c r="S124" s="10">
        <f t="shared" si="218"/>
        <v>60.132797435138919</v>
      </c>
      <c r="T124" s="10">
        <f t="shared" ref="T124" si="219">SUM(T122)</f>
        <v>10.13351526617625</v>
      </c>
      <c r="U124" s="10">
        <f t="shared" si="218"/>
        <v>44.588600304817703</v>
      </c>
      <c r="V124" s="10">
        <f t="shared" si="218"/>
        <v>33.88575994570818</v>
      </c>
      <c r="W124" s="10">
        <f t="shared" si="218"/>
        <v>38.963799207037624</v>
      </c>
      <c r="X124" s="10">
        <f t="shared" si="218"/>
        <v>92.163630886752031</v>
      </c>
      <c r="Y124" s="10">
        <f t="shared" si="218"/>
        <v>16.801571380619471</v>
      </c>
      <c r="Z124" s="10">
        <f t="shared" si="218"/>
        <v>32.275063282867208</v>
      </c>
      <c r="AA124" s="10">
        <f t="shared" si="218"/>
        <v>12.715677809477064</v>
      </c>
      <c r="AB124" s="10">
        <f t="shared" si="218"/>
        <v>202.15385672937154</v>
      </c>
      <c r="AC124" s="10">
        <f t="shared" ref="AC124:AD124" si="220">SUM(AC122)</f>
        <v>19.704610503858856</v>
      </c>
      <c r="AD124" s="10">
        <f t="shared" si="220"/>
        <v>4.8464638229538588</v>
      </c>
      <c r="AE124" s="10">
        <f t="shared" si="218"/>
        <v>5.724761547459476</v>
      </c>
      <c r="AF124" s="10">
        <f t="shared" si="218"/>
        <v>2.6435257216111956</v>
      </c>
      <c r="AG124" s="10">
        <f t="shared" ref="AG124:AH124" si="221">SUM(AG122)</f>
        <v>185.38525315928064</v>
      </c>
      <c r="AH124" s="10">
        <f t="shared" si="221"/>
        <v>98.932879501536249</v>
      </c>
      <c r="AI124" s="10">
        <f t="shared" si="218"/>
        <v>23.685974416805063</v>
      </c>
      <c r="AJ124" s="10">
        <f t="shared" ref="AJ124:AO124" si="222">SUM(AJ122)</f>
        <v>0</v>
      </c>
      <c r="AK124" s="10">
        <f t="shared" si="222"/>
        <v>1.730756311318427</v>
      </c>
      <c r="AL124" s="10">
        <f t="shared" si="222"/>
        <v>2.4230588358457976</v>
      </c>
      <c r="AM124" s="10">
        <f t="shared" si="222"/>
        <v>6.923025245273708</v>
      </c>
      <c r="AN124" s="10">
        <f t="shared" si="222"/>
        <v>2.7692100981094834</v>
      </c>
      <c r="AO124" s="10">
        <f t="shared" si="222"/>
        <v>0</v>
      </c>
      <c r="AP124" s="10">
        <f t="shared" ref="AP124:BN124" si="223">SUM(AP122)</f>
        <v>0</v>
      </c>
      <c r="AQ124" s="10">
        <f t="shared" si="223"/>
        <v>0</v>
      </c>
      <c r="AR124" s="10">
        <f t="shared" si="223"/>
        <v>63.949273058851936</v>
      </c>
      <c r="AS124" s="10">
        <f t="shared" si="223"/>
        <v>17.186010731121645</v>
      </c>
      <c r="AT124" s="10">
        <f t="shared" si="223"/>
        <v>179.40760624363077</v>
      </c>
      <c r="AU124" s="10">
        <f t="shared" si="223"/>
        <v>69.636980185896903</v>
      </c>
      <c r="AV124" s="10">
        <f t="shared" si="223"/>
        <v>0</v>
      </c>
      <c r="AW124" s="366"/>
      <c r="AX124" s="4">
        <f t="shared" si="178"/>
        <v>0</v>
      </c>
      <c r="AY124" s="10">
        <f t="shared" si="223"/>
        <v>0</v>
      </c>
      <c r="AZ124" s="10">
        <f t="shared" si="223"/>
        <v>0</v>
      </c>
      <c r="BA124" s="10">
        <f t="shared" si="223"/>
        <v>0</v>
      </c>
      <c r="BB124" s="10">
        <f t="shared" si="223"/>
        <v>0</v>
      </c>
      <c r="BC124" s="10">
        <f t="shared" si="223"/>
        <v>0</v>
      </c>
      <c r="BD124" s="10">
        <f t="shared" si="223"/>
        <v>0</v>
      </c>
      <c r="BE124" s="10">
        <f t="shared" si="223"/>
        <v>0</v>
      </c>
      <c r="BF124" s="10">
        <f t="shared" si="223"/>
        <v>0</v>
      </c>
      <c r="BG124" s="10">
        <f t="shared" si="223"/>
        <v>0</v>
      </c>
      <c r="BH124" s="10">
        <f t="shared" si="223"/>
        <v>0</v>
      </c>
      <c r="BI124" s="10">
        <f t="shared" si="223"/>
        <v>0</v>
      </c>
      <c r="BJ124" s="10">
        <f t="shared" si="223"/>
        <v>0</v>
      </c>
      <c r="BK124" s="10">
        <f t="shared" si="223"/>
        <v>0</v>
      </c>
      <c r="BL124" s="10">
        <f t="shared" si="223"/>
        <v>0</v>
      </c>
      <c r="BM124" s="10">
        <f t="shared" si="223"/>
        <v>9444.6130247650181</v>
      </c>
      <c r="BN124" s="10" t="e">
        <f t="shared" si="223"/>
        <v>#REF!</v>
      </c>
      <c r="BO124" s="85" t="e">
        <f>BM124-BN124</f>
        <v>#REF!</v>
      </c>
      <c r="BS124" s="10" t="e">
        <f t="shared" ref="BS124" si="224">SUM(BS122)</f>
        <v>#REF!</v>
      </c>
      <c r="BT124" t="s">
        <v>194</v>
      </c>
    </row>
    <row r="125" spans="1:74">
      <c r="A125" s="11" t="s">
        <v>195</v>
      </c>
      <c r="B125" s="285">
        <v>10875</v>
      </c>
      <c r="C125" s="375">
        <f>SUM(E125:AV125)</f>
        <v>11674.812361987024</v>
      </c>
      <c r="D125" s="375">
        <v>13785.85</v>
      </c>
      <c r="E125" s="8">
        <f>$B$125*'2026 Labor Alloc $$'!AX78</f>
        <v>162.36168094662034</v>
      </c>
      <c r="F125" s="8">
        <f>$B$125*'2026 Labor Alloc $$'!AY78</f>
        <v>196.94726860051807</v>
      </c>
      <c r="G125" s="8">
        <f>$B$125*'2026 Labor Alloc $$'!H78+800</f>
        <v>2185.3736558953788</v>
      </c>
      <c r="H125" s="8">
        <f>$B$125*'2026 Labor Alloc $$'!I78</f>
        <v>984.153852827783</v>
      </c>
      <c r="I125" s="8">
        <f>$B$125*'2026 Labor Alloc $$'!J78</f>
        <v>195.62368453682609</v>
      </c>
      <c r="J125" s="8">
        <f>$B$125*'2026 Labor Alloc $$'!K78</f>
        <v>246.11392960024213</v>
      </c>
      <c r="K125" s="8">
        <f>$B$125*'2026 Labor Alloc $$'!L78</f>
        <v>96.527275573521678</v>
      </c>
      <c r="L125" s="8">
        <f>$B$125*'2026 Labor Alloc $$'!M78</f>
        <v>275.13630329398467</v>
      </c>
      <c r="M125" s="8">
        <f>$B$125*'2026 Labor Alloc $$'!N78</f>
        <v>480.27356666894616</v>
      </c>
      <c r="N125" s="8">
        <f>$B$125*'2026 Labor Alloc $$'!O78</f>
        <v>1261.9812269674694</v>
      </c>
      <c r="O125" s="8">
        <f>$B$125*'2026 Labor Alloc $$'!P78</f>
        <v>364.24142650053687</v>
      </c>
      <c r="P125" s="8">
        <f>$B$125*'2026 Labor Alloc $$'!Q78</f>
        <v>38.929104970965504</v>
      </c>
      <c r="Q125" s="8">
        <f>$B$125*'2026 Labor Alloc $$'!R78</f>
        <v>314.14073960486888</v>
      </c>
      <c r="R125" s="8">
        <f>$B$125*'2026 Labor Alloc $$'!S78</f>
        <v>562.42644592104898</v>
      </c>
      <c r="S125" s="8">
        <f>$B$125*'2026 Labor Alloc $$'!T78</f>
        <v>210.94973293778574</v>
      </c>
      <c r="T125" s="8">
        <f>$B$125*'2026 Labor Alloc $$'!U78</f>
        <v>35.549025328924749</v>
      </c>
      <c r="U125" s="8">
        <f>$B$125*'2026 Labor Alloc $$'!V78</f>
        <v>156.41968655319113</v>
      </c>
      <c r="V125" s="8">
        <f>$B$125*'2026 Labor Alloc $$'!W78</f>
        <v>118.87343206760531</v>
      </c>
      <c r="W125" s="8">
        <f>$B$125*'2026 Labor Alloc $$'!X78</f>
        <v>136.68752141178521</v>
      </c>
      <c r="X125" s="8">
        <f>$B$125*'2026 Labor Alloc $$'!Y78</f>
        <v>323.31596319142847</v>
      </c>
      <c r="Y125" s="8">
        <f>$B$125*'2026 Labor Alloc $$'!Z78</f>
        <v>58.940996375560239</v>
      </c>
      <c r="Z125" s="8">
        <f>$B$125*'2026 Labor Alloc $$'!AA78</f>
        <v>113.22300425844544</v>
      </c>
      <c r="AA125" s="8">
        <f>$B$125*'2026 Labor Alloc $$'!AB78</f>
        <v>44.607418121955831</v>
      </c>
      <c r="AB125" s="8">
        <f>$B$125*'2026 Labor Alloc $$'!AC78</f>
        <v>709.16877159094042</v>
      </c>
      <c r="AC125" s="8">
        <f>$B$125*'2026 Labor Alloc $$'!AD78</f>
        <v>69.125044912730672</v>
      </c>
      <c r="AD125" s="8">
        <f>$B$125*'2026 Labor Alloc $$'!AE78</f>
        <v>17.001707766007488</v>
      </c>
      <c r="AE125" s="8">
        <f>$B$125*'2026 Labor Alloc $$'!AF78</f>
        <v>20.082832847942516</v>
      </c>
      <c r="AF125" s="8">
        <f>$B$125*'2026 Labor Alloc $$'!AG78</f>
        <v>9.2736587814586304</v>
      </c>
      <c r="AG125" s="8">
        <f>$B$125*'2026 Labor Alloc $$'!AH78</f>
        <v>650.34342842166996</v>
      </c>
      <c r="AH125" s="8">
        <f>$B$125*'2026 Labor Alloc $$'!AI78</f>
        <v>347.06292405780863</v>
      </c>
      <c r="AI125" s="8">
        <f>$B$125*'2026 Labor Alloc $$'!AJ78</f>
        <v>83.091926381533881</v>
      </c>
      <c r="AJ125" s="8">
        <f>$B$125*'2026 Labor Alloc $$'!AK78</f>
        <v>0</v>
      </c>
      <c r="AK125" s="8">
        <f>$B$125*'2026 Labor Alloc $$'!AL78</f>
        <v>6.0716048018025468</v>
      </c>
      <c r="AL125" s="8">
        <f>$B$125*'2026 Labor Alloc $$'!AM78</f>
        <v>8.5002467225235652</v>
      </c>
      <c r="AM125" s="8">
        <f>$B$125*'2026 Labor Alloc $$'!AN78</f>
        <v>24.286419207210187</v>
      </c>
      <c r="AN125" s="8">
        <f>$B$125*'2026 Labor Alloc $$'!AO78</f>
        <v>9.7145676828840735</v>
      </c>
      <c r="AO125" s="8">
        <f>$B$125*'2026 Labor Alloc $$'!AP78</f>
        <v>0</v>
      </c>
      <c r="AP125" s="8">
        <f>$B$125*'2026 Labor Alloc $$'!AQ78</f>
        <v>0</v>
      </c>
      <c r="AQ125" s="8">
        <f>$B$125*'2026 Labor Alloc $$'!AR78</f>
        <v>0</v>
      </c>
      <c r="AR125" s="8">
        <f>$B$125*'2026 Labor Alloc $$'!AS78</f>
        <v>224.33817565000479</v>
      </c>
      <c r="AS125" s="8">
        <f>$B$125*'2026 Labor Alloc $$'!AT78</f>
        <v>60.289634419660608</v>
      </c>
      <c r="AT125" s="8">
        <f>$B$125*'2026 Labor Alloc $$'!AU78</f>
        <v>629.37345738693057</v>
      </c>
      <c r="AU125" s="8">
        <f>$B$125*'2026 Labor Alloc $$'!AV78</f>
        <v>244.29101920052543</v>
      </c>
      <c r="AV125" s="8">
        <f>$B$125*'2026 Labor Alloc $$'!AW78</f>
        <v>0</v>
      </c>
      <c r="AW125" s="364"/>
      <c r="AX125" s="8">
        <f t="shared" si="178"/>
        <v>0</v>
      </c>
      <c r="AY125" s="8">
        <f>('June 2024 YTD'!BI118*2)*1.03</f>
        <v>0</v>
      </c>
      <c r="AZ125" s="8">
        <f>('June 2024 YTD'!BJ118*2)*1.03</f>
        <v>0</v>
      </c>
      <c r="BA125" s="8">
        <f>('June 2024 YTD'!BK118*2)*1.03</f>
        <v>0</v>
      </c>
      <c r="BB125" s="8">
        <f>('June 2024 YTD'!BL118*2)*1.03</f>
        <v>0</v>
      </c>
      <c r="BC125" s="8">
        <f>('June 2024 YTD'!BM118*2)*1.03</f>
        <v>0</v>
      </c>
      <c r="BD125" s="8">
        <f>('June 2024 YTD'!BN118*2)*1.03</f>
        <v>0</v>
      </c>
      <c r="BE125" s="8">
        <f>('June 2024 YTD'!BO118*2)*1.03</f>
        <v>0</v>
      </c>
      <c r="BF125" s="8">
        <f>('June 2024 YTD'!BP118*2)*1.03</f>
        <v>0</v>
      </c>
      <c r="BG125" s="8">
        <f>('June 2024 YTD'!BQ118*2)*1.03</f>
        <v>0</v>
      </c>
      <c r="BH125" s="8">
        <f>('June 2024 YTD'!BR118*2)*1.03</f>
        <v>0</v>
      </c>
      <c r="BI125" s="8">
        <f>('June 2024 YTD'!BS118*2)*1.03</f>
        <v>0</v>
      </c>
      <c r="BJ125" s="8">
        <f>('June 2024 YTD'!BT118*2)*1.03</f>
        <v>0</v>
      </c>
      <c r="BK125" s="8">
        <f>('June 2024 YTD'!BU118*2)*1.03</f>
        <v>0</v>
      </c>
      <c r="BL125" s="8">
        <f>('June 2024 YTD'!BV118*2)*1.03</f>
        <v>0</v>
      </c>
      <c r="BM125" s="8">
        <f>SUM(B125:BL125)</f>
        <v>48010.474723974032</v>
      </c>
      <c r="BN125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25" s="85" t="e">
        <f>BM125-BN125</f>
        <v>#REF!</v>
      </c>
      <c r="BS125" s="8" t="e">
        <f>SUM(B125:BL125)-#REF!-AV125-AP125-SUM(AY125:BL125)</f>
        <v>#REF!</v>
      </c>
      <c r="BT125" t="s">
        <v>195</v>
      </c>
    </row>
    <row r="126" spans="1:74">
      <c r="A126" s="11" t="s">
        <v>196</v>
      </c>
      <c r="B126" s="285">
        <v>3200</v>
      </c>
      <c r="C126" s="375">
        <f>SUM(E126:AV126)</f>
        <v>3200</v>
      </c>
      <c r="D126" s="375">
        <v>6659.86</v>
      </c>
      <c r="E126" s="8">
        <v>0</v>
      </c>
      <c r="F126" s="8">
        <v>0</v>
      </c>
      <c r="G126" s="8">
        <f>'June 2025 YTD'!C124*2</f>
        <v>0</v>
      </c>
      <c r="H126" s="8">
        <f>'June 2025 YTD'!D124*2</f>
        <v>0</v>
      </c>
      <c r="I126" s="8">
        <f>'June 2025 YTD'!E124*2</f>
        <v>0</v>
      </c>
      <c r="J126" s="8">
        <f>'June 2025 YTD'!F124*2</f>
        <v>0</v>
      </c>
      <c r="K126" s="8">
        <f>'June 2025 YTD'!G124*2</f>
        <v>0</v>
      </c>
      <c r="L126" s="8">
        <f>'June 2025 YTD'!H124*2</f>
        <v>0</v>
      </c>
      <c r="M126" s="8">
        <f>'June 2025 YTD'!I124*2</f>
        <v>0</v>
      </c>
      <c r="N126" s="8">
        <f>'June 2025 YTD'!J124*2</f>
        <v>0</v>
      </c>
      <c r="O126" s="8">
        <f>'June 2025 YTD'!K124*2</f>
        <v>0</v>
      </c>
      <c r="P126" s="8">
        <f>'June 2025 YTD'!L124*2</f>
        <v>0</v>
      </c>
      <c r="Q126" s="8">
        <f>'June 2025 YTD'!M124*2</f>
        <v>0</v>
      </c>
      <c r="R126" s="8">
        <f>'June 2025 YTD'!N124*2</f>
        <v>0</v>
      </c>
      <c r="S126" s="8">
        <f>'June 2025 YTD'!O124*2</f>
        <v>0</v>
      </c>
      <c r="T126" s="8">
        <f>'June 2025 YTD'!P124*2</f>
        <v>0</v>
      </c>
      <c r="U126" s="8">
        <f>'June 2025 YTD'!Q124*2</f>
        <v>0</v>
      </c>
      <c r="V126" s="8">
        <f>'June 2025 YTD'!R124*2</f>
        <v>0</v>
      </c>
      <c r="W126" s="8">
        <f>'June 2025 YTD'!S124*2</f>
        <v>0</v>
      </c>
      <c r="X126" s="8">
        <f>'June 2025 YTD'!T124*2</f>
        <v>0</v>
      </c>
      <c r="Y126" s="8">
        <f>'June 2025 YTD'!U124*2</f>
        <v>0</v>
      </c>
      <c r="Z126" s="8">
        <f>'June 2025 YTD'!V124*2</f>
        <v>0</v>
      </c>
      <c r="AA126" s="8">
        <f>'June 2025 YTD'!W124*2</f>
        <v>0</v>
      </c>
      <c r="AB126" s="8">
        <f>'June 2025 YTD'!X124*2</f>
        <v>0</v>
      </c>
      <c r="AC126" s="8">
        <f>'June 2025 YTD'!Y124*2</f>
        <v>0</v>
      </c>
      <c r="AD126" s="8">
        <f>'June 2025 YTD'!Z124*2</f>
        <v>0</v>
      </c>
      <c r="AE126" s="8">
        <f>'June 2025 YTD'!AA124*2</f>
        <v>0</v>
      </c>
      <c r="AF126" s="8">
        <f>'June 2025 YTD'!AB124*2</f>
        <v>0</v>
      </c>
      <c r="AG126" s="8">
        <f>'June 2025 YTD'!AC124*2</f>
        <v>0</v>
      </c>
      <c r="AH126" s="8">
        <f>'June 2025 YTD'!AD124*2</f>
        <v>0</v>
      </c>
      <c r="AI126" s="8">
        <f>'June 2025 YTD'!AE124*2</f>
        <v>0</v>
      </c>
      <c r="AJ126" s="8">
        <f>'June 2025 YTD'!AF124*2</f>
        <v>0</v>
      </c>
      <c r="AK126" s="8">
        <f>'June 2025 YTD'!AG124*2</f>
        <v>0</v>
      </c>
      <c r="AL126" s="8">
        <f>'June 2025 YTD'!AH124*2</f>
        <v>0</v>
      </c>
      <c r="AM126" s="8">
        <f>'June 2025 YTD'!AI124*2</f>
        <v>0</v>
      </c>
      <c r="AN126" s="8">
        <f>'June 2025 YTD'!AJ124*2</f>
        <v>0</v>
      </c>
      <c r="AO126" s="8">
        <f>'June 2025 YTD'!AK124*2</f>
        <v>0</v>
      </c>
      <c r="AP126" s="8">
        <f>'June 2025 YTD'!AL124*2</f>
        <v>0</v>
      </c>
      <c r="AQ126" s="8">
        <f>'June 2025 YTD'!AM124*2</f>
        <v>0</v>
      </c>
      <c r="AR126" s="8">
        <f>'June 2025 YTD'!AN124*2</f>
        <v>0</v>
      </c>
      <c r="AS126" s="8">
        <f>'June 2025 YTD'!AO124*2</f>
        <v>0</v>
      </c>
      <c r="AT126" s="8">
        <f>'June 2025 YTD'!AP124*2</f>
        <v>0</v>
      </c>
      <c r="AU126" s="8">
        <f>'June 2025 YTD'!AQ124*2</f>
        <v>0</v>
      </c>
      <c r="AV126" s="8">
        <v>3200</v>
      </c>
      <c r="AW126" s="364"/>
      <c r="AX126" s="8">
        <f t="shared" si="178"/>
        <v>0</v>
      </c>
      <c r="AY126" s="8">
        <f>'June 2024 YTD'!BI119*2</f>
        <v>0</v>
      </c>
      <c r="AZ126" s="8">
        <f>'June 2024 YTD'!BJ119*2</f>
        <v>0</v>
      </c>
      <c r="BA126" s="8">
        <f>'June 2024 YTD'!BK119*2</f>
        <v>0</v>
      </c>
      <c r="BB126" s="8">
        <f>'June 2024 YTD'!BL119*2</f>
        <v>0</v>
      </c>
      <c r="BC126" s="8">
        <f>'June 2024 YTD'!BM119*2</f>
        <v>0</v>
      </c>
      <c r="BD126" s="8">
        <f>'June 2024 YTD'!BN119*2</f>
        <v>0</v>
      </c>
      <c r="BE126" s="8">
        <f>'June 2024 YTD'!BO119*2</f>
        <v>0</v>
      </c>
      <c r="BF126" s="8">
        <f>'June 2024 YTD'!BP119*2</f>
        <v>0</v>
      </c>
      <c r="BG126" s="8">
        <f>'June 2024 YTD'!BQ119*2</f>
        <v>0</v>
      </c>
      <c r="BH126" s="8">
        <f>'June 2024 YTD'!BR119*2</f>
        <v>0</v>
      </c>
      <c r="BI126" s="8">
        <f>'June 2024 YTD'!BS119*2</f>
        <v>0</v>
      </c>
      <c r="BJ126" s="8">
        <f>'June 2024 YTD'!BT119*2</f>
        <v>0</v>
      </c>
      <c r="BK126" s="8">
        <f>'June 2024 YTD'!BU119*2</f>
        <v>0</v>
      </c>
      <c r="BL126" s="8">
        <f>'June 2024 YTD'!BV119*2</f>
        <v>0</v>
      </c>
      <c r="BM126" s="8">
        <f>SUM(B126:BL126)</f>
        <v>16259.86</v>
      </c>
      <c r="BN126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26" s="85" t="e">
        <f>BM126-BN126</f>
        <v>#REF!</v>
      </c>
      <c r="BS126" s="8" t="e">
        <f>SUM(B126:BL126)-#REF!-AV126-AP126-SUM(AY126:BL126)</f>
        <v>#REF!</v>
      </c>
      <c r="BT126" t="s">
        <v>196</v>
      </c>
    </row>
    <row r="127" spans="1:74">
      <c r="A127" s="6" t="s">
        <v>197</v>
      </c>
      <c r="B127" s="19"/>
      <c r="C127" s="82"/>
      <c r="D127" s="8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366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O127" s="85"/>
      <c r="BS127" s="4"/>
      <c r="BT127" t="s">
        <v>197</v>
      </c>
    </row>
    <row r="128" spans="1:74">
      <c r="A128" s="7" t="s">
        <v>198</v>
      </c>
      <c r="B128" s="285">
        <v>3846.64</v>
      </c>
      <c r="C128" s="375">
        <f>SUM(E128:AV128)</f>
        <v>3846.6400000000003</v>
      </c>
      <c r="D128" s="375">
        <v>3088.07</v>
      </c>
      <c r="E128" s="8">
        <v>500</v>
      </c>
      <c r="F128" s="8">
        <v>0</v>
      </c>
      <c r="G128" s="8">
        <f>'51320 Small Equip-Software'!E105+500</f>
        <v>2163.8000000000002</v>
      </c>
      <c r="H128" s="8">
        <f>'June 2025 YTD'!D126*2</f>
        <v>70.64</v>
      </c>
      <c r="I128" s="8">
        <f>'June 2025 YTD'!E126*2</f>
        <v>0</v>
      </c>
      <c r="J128" s="8">
        <f>'June 2025 YTD'!F126*2</f>
        <v>0</v>
      </c>
      <c r="K128" s="8">
        <f>'June 2025 YTD'!G126*2</f>
        <v>70.34</v>
      </c>
      <c r="L128" s="8">
        <f>'June 2025 YTD'!H126*2</f>
        <v>0</v>
      </c>
      <c r="M128" s="8">
        <f>'June 2025 YTD'!I126*2</f>
        <v>0</v>
      </c>
      <c r="N128" s="8">
        <f>'June 2025 YTD'!J126*2</f>
        <v>70.34</v>
      </c>
      <c r="O128" s="8">
        <f>'June 2025 YTD'!K126*2</f>
        <v>0</v>
      </c>
      <c r="P128" s="8">
        <f>'June 2025 YTD'!L126*2</f>
        <v>0</v>
      </c>
      <c r="Q128" s="8">
        <f>'June 2025 YTD'!M126*2</f>
        <v>0</v>
      </c>
      <c r="R128" s="8">
        <f>'51320 Small Equip-Software'!E106+500</f>
        <v>600</v>
      </c>
      <c r="S128" s="8">
        <f>'June 2025 YTD'!O126*2</f>
        <v>0</v>
      </c>
      <c r="T128" s="8">
        <f>'June 2025 YTD'!P126*2</f>
        <v>0</v>
      </c>
      <c r="U128" s="8">
        <f>'June 2025 YTD'!Q126*2</f>
        <v>0</v>
      </c>
      <c r="V128" s="8">
        <f>'June 2025 YTD'!R126*2</f>
        <v>0</v>
      </c>
      <c r="W128" s="8">
        <f>'June 2025 YTD'!S126*2</f>
        <v>0</v>
      </c>
      <c r="X128" s="8">
        <f>'June 2025 YTD'!T126*2</f>
        <v>0</v>
      </c>
      <c r="Y128" s="8">
        <f>'June 2025 YTD'!U126*2</f>
        <v>0</v>
      </c>
      <c r="Z128" s="8">
        <f>'June 2025 YTD'!V126*2</f>
        <v>0</v>
      </c>
      <c r="AA128" s="8">
        <f>'June 2025 YTD'!W126*2</f>
        <v>0</v>
      </c>
      <c r="AB128" s="8">
        <f>'June 2025 YTD'!X126*2</f>
        <v>0</v>
      </c>
      <c r="AC128" s="8">
        <f>'June 2025 YTD'!Y126*2</f>
        <v>0</v>
      </c>
      <c r="AD128" s="8">
        <f>'June 2025 YTD'!Z126*2</f>
        <v>0</v>
      </c>
      <c r="AE128" s="8">
        <f>'June 2025 YTD'!AA126*2</f>
        <v>0</v>
      </c>
      <c r="AF128" s="8">
        <f>'June 2025 YTD'!AB126*2</f>
        <v>0</v>
      </c>
      <c r="AG128" s="8">
        <f>'June 2025 YTD'!AC126*2</f>
        <v>70.64</v>
      </c>
      <c r="AH128" s="8">
        <f>'June 2025 YTD'!AD126*2</f>
        <v>0</v>
      </c>
      <c r="AI128" s="8">
        <f>'June 2025 YTD'!AE126*2</f>
        <v>0</v>
      </c>
      <c r="AJ128" s="8">
        <f>'June 2025 YTD'!AF126*2</f>
        <v>0</v>
      </c>
      <c r="AK128" s="8">
        <f>'June 2025 YTD'!AG126*2</f>
        <v>0</v>
      </c>
      <c r="AL128" s="8">
        <f>'June 2025 YTD'!AH126*2</f>
        <v>0</v>
      </c>
      <c r="AM128" s="8">
        <f>'June 2025 YTD'!AI126*2</f>
        <v>0</v>
      </c>
      <c r="AN128" s="8">
        <f>'June 2025 YTD'!AJ126*2</f>
        <v>0</v>
      </c>
      <c r="AO128" s="8">
        <f>'June 2025 YTD'!AK126*2</f>
        <v>0</v>
      </c>
      <c r="AP128" s="8">
        <f>'June 2025 YTD'!AL126*2</f>
        <v>0</v>
      </c>
      <c r="AQ128" s="8">
        <f>'June 2025 YTD'!AM126*2</f>
        <v>0</v>
      </c>
      <c r="AR128" s="8">
        <f>'June 2025 YTD'!AN126*2</f>
        <v>70.64</v>
      </c>
      <c r="AS128" s="8">
        <f>'June 2025 YTD'!AO126*2</f>
        <v>0</v>
      </c>
      <c r="AT128" s="8">
        <f>'June 2025 YTD'!AP126*2</f>
        <v>0</v>
      </c>
      <c r="AU128" s="8">
        <f>'June 2025 YTD'!AQ126*2</f>
        <v>230.24</v>
      </c>
      <c r="AV128" s="8">
        <f>'June 2025 YTD'!AR126*2</f>
        <v>0</v>
      </c>
      <c r="AW128" s="364"/>
      <c r="AX128" s="8">
        <f t="shared" si="178"/>
        <v>0</v>
      </c>
      <c r="AY128" s="8">
        <f>('June 2024 YTD'!BI121*2)*1.03</f>
        <v>0</v>
      </c>
      <c r="AZ128" s="8">
        <f>('June 2024 YTD'!BJ121*2)*1.03</f>
        <v>0</v>
      </c>
      <c r="BA128" s="8">
        <f>('June 2024 YTD'!BK121*2)*1.03</f>
        <v>0</v>
      </c>
      <c r="BB128" s="8">
        <f>('June 2024 YTD'!BL121*2)*1.03</f>
        <v>0</v>
      </c>
      <c r="BC128" s="8">
        <f>('June 2024 YTD'!BM121*2)*1.03</f>
        <v>0</v>
      </c>
      <c r="BD128" s="8">
        <f>('June 2024 YTD'!BN121*2)*1.03</f>
        <v>0</v>
      </c>
      <c r="BE128" s="8">
        <f>('June 2024 YTD'!BO121*2)*1.03</f>
        <v>0</v>
      </c>
      <c r="BF128" s="8">
        <f>('June 2024 YTD'!BP121*2)*1.03</f>
        <v>0</v>
      </c>
      <c r="BG128" s="8">
        <f>('June 2024 YTD'!BQ121*2)*1.03</f>
        <v>0</v>
      </c>
      <c r="BH128" s="8">
        <f>('June 2024 YTD'!BR121*2)*1.03</f>
        <v>0</v>
      </c>
      <c r="BI128" s="8">
        <f>('June 2024 YTD'!BS121*2)*1.03</f>
        <v>0</v>
      </c>
      <c r="BJ128" s="8">
        <f>('June 2024 YTD'!BT121*2)*1.03</f>
        <v>0</v>
      </c>
      <c r="BK128" s="8">
        <f>('June 2024 YTD'!BU121*2)*1.03</f>
        <v>0</v>
      </c>
      <c r="BL128" s="8">
        <f>('June 2024 YTD'!BV121*2)*1.03</f>
        <v>0</v>
      </c>
      <c r="BM128" s="8">
        <f>SUM(B128:BL128)</f>
        <v>14627.99</v>
      </c>
      <c r="BN128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28" s="85" t="e">
        <f t="shared" ref="BO128:BO139" si="225">BM128-BN128</f>
        <v>#REF!</v>
      </c>
      <c r="BS128" s="8" t="e">
        <f>SUM(B128:BL128)-#REF!-AV128-AP128-SUM(AY128:BL128)</f>
        <v>#REF!</v>
      </c>
      <c r="BT128" t="s">
        <v>198</v>
      </c>
    </row>
    <row r="129" spans="1:72">
      <c r="A129" s="7" t="s">
        <v>199</v>
      </c>
      <c r="B129" s="285">
        <v>9000</v>
      </c>
      <c r="C129" s="375">
        <f t="shared" ref="C129:C130" si="226">SUM(E129:AV129)</f>
        <v>9010.74</v>
      </c>
      <c r="D129" s="375">
        <v>12530.99</v>
      </c>
      <c r="E129" s="8">
        <v>0</v>
      </c>
      <c r="F129" s="8">
        <v>0</v>
      </c>
      <c r="G129" s="8">
        <f>'June 2025 YTD'!C127*2+600</f>
        <v>1481.74</v>
      </c>
      <c r="H129" s="8">
        <f>'June 2025 YTD'!D127*2</f>
        <v>228.74</v>
      </c>
      <c r="I129" s="8">
        <f>'June 2025 YTD'!E127*2</f>
        <v>24.78</v>
      </c>
      <c r="J129" s="8">
        <f>'June 2025 YTD'!F127*2</f>
        <v>0</v>
      </c>
      <c r="K129" s="8">
        <f>'June 2025 YTD'!G127*2</f>
        <v>133</v>
      </c>
      <c r="L129" s="8">
        <f>'June 2025 YTD'!H127*2</f>
        <v>0</v>
      </c>
      <c r="M129" s="8">
        <f>'June 2025 YTD'!I127*2</f>
        <v>86.74</v>
      </c>
      <c r="N129" s="8">
        <f>'June 2025 YTD'!J127*2</f>
        <v>275</v>
      </c>
      <c r="O129" s="8">
        <f>'June 2025 YTD'!K127*2</f>
        <v>86.74</v>
      </c>
      <c r="P129" s="8">
        <f>'June 2025 YTD'!L127*2</f>
        <v>0</v>
      </c>
      <c r="Q129" s="8">
        <f>'June 2025 YTD'!M127*2</f>
        <v>0</v>
      </c>
      <c r="R129" s="8">
        <f>'June 2025 YTD'!N127*2</f>
        <v>370.74</v>
      </c>
      <c r="S129" s="8">
        <f>'June 2025 YTD'!O127*2</f>
        <v>0</v>
      </c>
      <c r="T129" s="8">
        <f>'June 2025 YTD'!P127*2</f>
        <v>0</v>
      </c>
      <c r="U129" s="8">
        <f>'June 2025 YTD'!Q127*2</f>
        <v>0</v>
      </c>
      <c r="V129" s="8">
        <f>'June 2025 YTD'!R127*2</f>
        <v>0</v>
      </c>
      <c r="W129" s="8">
        <f>'June 2025 YTD'!S127*2</f>
        <v>0</v>
      </c>
      <c r="X129" s="8">
        <f>'June 2025 YTD'!T127*2</f>
        <v>111.52</v>
      </c>
      <c r="Y129" s="8">
        <f>'June 2025 YTD'!U127*2</f>
        <v>0</v>
      </c>
      <c r="Z129" s="8">
        <f>'June 2025 YTD'!V127*2</f>
        <v>0</v>
      </c>
      <c r="AA129" s="8">
        <f>'June 2025 YTD'!W127*2</f>
        <v>86.74</v>
      </c>
      <c r="AB129" s="8">
        <f>'June 2025 YTD'!X127*2</f>
        <v>0</v>
      </c>
      <c r="AC129" s="8">
        <f>'June 2025 YTD'!Y127*2</f>
        <v>0</v>
      </c>
      <c r="AD129" s="8">
        <f>'June 2025 YTD'!Z127*2</f>
        <v>0</v>
      </c>
      <c r="AE129" s="8">
        <f>'June 2025 YTD'!AA127*2</f>
        <v>0</v>
      </c>
      <c r="AF129" s="8">
        <f>'June 2025 YTD'!AB127*2</f>
        <v>0</v>
      </c>
      <c r="AG129" s="8">
        <v>4600</v>
      </c>
      <c r="AH129" s="8">
        <v>744</v>
      </c>
      <c r="AI129" s="8">
        <f>'June 2025 YTD'!AE127*2</f>
        <v>126</v>
      </c>
      <c r="AJ129" s="8">
        <f>'June 2025 YTD'!AF127*2</f>
        <v>0</v>
      </c>
      <c r="AK129" s="8">
        <f>'June 2025 YTD'!AG127*2</f>
        <v>0</v>
      </c>
      <c r="AL129" s="8">
        <f>'June 2025 YTD'!AH127*2</f>
        <v>0</v>
      </c>
      <c r="AM129" s="8">
        <f>'June 2025 YTD'!AI127*2</f>
        <v>0</v>
      </c>
      <c r="AN129" s="8">
        <f>'June 2025 YTD'!AJ127*2</f>
        <v>0</v>
      </c>
      <c r="AO129" s="8">
        <f>'June 2025 YTD'!AK127*2</f>
        <v>0</v>
      </c>
      <c r="AP129" s="8">
        <v>0</v>
      </c>
      <c r="AQ129" s="8">
        <f>'June 2025 YTD'!AM127*2</f>
        <v>0</v>
      </c>
      <c r="AR129" s="8">
        <f>'June 2025 YTD'!AN127*2</f>
        <v>291</v>
      </c>
      <c r="AS129" s="8">
        <f>'June 2025 YTD'!AO127*2</f>
        <v>231</v>
      </c>
      <c r="AT129" s="8">
        <f>'June 2025 YTD'!AP127*2</f>
        <v>0</v>
      </c>
      <c r="AU129" s="8">
        <f>'June 2025 YTD'!AQ127*2</f>
        <v>133</v>
      </c>
      <c r="AV129" s="8">
        <f>'June 2025 YTD'!AR127*2</f>
        <v>0</v>
      </c>
      <c r="AW129" s="364"/>
      <c r="AX129" s="8">
        <f t="shared" si="178"/>
        <v>0</v>
      </c>
      <c r="AY129" s="8">
        <f t="shared" ref="AY129:BE129" si="227">AY259</f>
        <v>0</v>
      </c>
      <c r="AZ129" s="8">
        <f t="shared" si="227"/>
        <v>0</v>
      </c>
      <c r="BA129" s="8">
        <f t="shared" si="227"/>
        <v>0</v>
      </c>
      <c r="BB129" s="8">
        <f t="shared" si="227"/>
        <v>0</v>
      </c>
      <c r="BC129" s="8">
        <f t="shared" si="227"/>
        <v>0</v>
      </c>
      <c r="BD129" s="8">
        <f t="shared" si="227"/>
        <v>0</v>
      </c>
      <c r="BE129" s="8">
        <f t="shared" si="227"/>
        <v>0</v>
      </c>
      <c r="BF129" s="8">
        <f t="shared" ref="BF129:BL129" si="228">BF259</f>
        <v>0</v>
      </c>
      <c r="BG129" s="8">
        <f t="shared" si="228"/>
        <v>0</v>
      </c>
      <c r="BH129" s="8">
        <f t="shared" si="228"/>
        <v>0</v>
      </c>
      <c r="BI129" s="8">
        <f t="shared" si="228"/>
        <v>0</v>
      </c>
      <c r="BJ129" s="8">
        <f t="shared" si="228"/>
        <v>0</v>
      </c>
      <c r="BK129" s="8">
        <f t="shared" si="228"/>
        <v>0</v>
      </c>
      <c r="BL129" s="8">
        <f t="shared" si="228"/>
        <v>0</v>
      </c>
      <c r="BM129" s="8">
        <f>SUM(B129:BL129)</f>
        <v>39552.469999999987</v>
      </c>
      <c r="BN129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29" s="85" t="e">
        <f t="shared" si="225"/>
        <v>#REF!</v>
      </c>
      <c r="BS129" s="8" t="e">
        <f>SUM(B129:BL129)-#REF!-AV129-AP129-SUM(AY129:BL129)</f>
        <v>#REF!</v>
      </c>
      <c r="BT129" t="s">
        <v>199</v>
      </c>
    </row>
    <row r="130" spans="1:72">
      <c r="A130" s="7" t="s">
        <v>200</v>
      </c>
      <c r="B130" s="285">
        <v>7742</v>
      </c>
      <c r="C130" s="375">
        <f t="shared" si="226"/>
        <v>7741.68</v>
      </c>
      <c r="D130" s="375">
        <v>7842.77</v>
      </c>
      <c r="E130" s="8">
        <v>0</v>
      </c>
      <c r="F130" s="8">
        <v>0</v>
      </c>
      <c r="G130" s="8">
        <f>'June 2025 YTD'!C128*2</f>
        <v>0</v>
      </c>
      <c r="H130" s="8">
        <f>'June 2025 YTD'!D128*2</f>
        <v>0</v>
      </c>
      <c r="I130" s="8">
        <f>'June 2025 YTD'!E128*2</f>
        <v>0</v>
      </c>
      <c r="J130" s="8">
        <f>'June 2025 YTD'!F128*2</f>
        <v>0</v>
      </c>
      <c r="K130" s="8">
        <f>'June 2025 YTD'!G128*2</f>
        <v>0</v>
      </c>
      <c r="L130" s="8">
        <f>'June 2025 YTD'!H128*2</f>
        <v>0</v>
      </c>
      <c r="M130" s="8">
        <f>'June 2025 YTD'!I128*2</f>
        <v>0</v>
      </c>
      <c r="N130" s="8">
        <f>'June 2025 YTD'!J128*2</f>
        <v>0</v>
      </c>
      <c r="O130" s="8">
        <f>'June 2025 YTD'!K128*2</f>
        <v>0</v>
      </c>
      <c r="P130" s="8">
        <f>'June 2025 YTD'!L128*2</f>
        <v>0</v>
      </c>
      <c r="Q130" s="8">
        <f>'June 2025 YTD'!M128*2</f>
        <v>0</v>
      </c>
      <c r="R130" s="8">
        <f>'June 2025 YTD'!N128*2</f>
        <v>0</v>
      </c>
      <c r="S130" s="8">
        <f>'June 2025 YTD'!O128*2</f>
        <v>0</v>
      </c>
      <c r="T130" s="8">
        <f>'June 2025 YTD'!P128*2</f>
        <v>0</v>
      </c>
      <c r="U130" s="8">
        <f>'June 2025 YTD'!Q128*2</f>
        <v>0</v>
      </c>
      <c r="V130" s="8">
        <f>'June 2025 YTD'!R128*2</f>
        <v>0</v>
      </c>
      <c r="W130" s="8">
        <f>'June 2025 YTD'!S128*2</f>
        <v>0</v>
      </c>
      <c r="X130" s="8">
        <f>'June 2025 YTD'!T128*2</f>
        <v>0</v>
      </c>
      <c r="Y130" s="8">
        <f>'June 2025 YTD'!U128*2</f>
        <v>0</v>
      </c>
      <c r="Z130" s="8">
        <f>'June 2025 YTD'!V128*2</f>
        <v>0</v>
      </c>
      <c r="AA130" s="8">
        <f>'June 2025 YTD'!W128*2</f>
        <v>0</v>
      </c>
      <c r="AB130" s="8">
        <f>'June 2025 YTD'!X128*2</f>
        <v>0</v>
      </c>
      <c r="AC130" s="8">
        <f>'June 2025 YTD'!Y128*2</f>
        <v>0</v>
      </c>
      <c r="AD130" s="8">
        <f>'June 2025 YTD'!Z128*2</f>
        <v>0</v>
      </c>
      <c r="AE130" s="8">
        <f>'June 2025 YTD'!AA128*2</f>
        <v>0</v>
      </c>
      <c r="AF130" s="8">
        <f>'June 2025 YTD'!AB128*2</f>
        <v>0</v>
      </c>
      <c r="AG130" s="8">
        <f>'June 2025 YTD'!AC128*2</f>
        <v>0</v>
      </c>
      <c r="AH130" s="8">
        <f>'June 2025 YTD'!AD128*2</f>
        <v>0</v>
      </c>
      <c r="AI130" s="8">
        <f>'June 2025 YTD'!AE128*2</f>
        <v>0</v>
      </c>
      <c r="AJ130" s="8">
        <f>'June 2025 YTD'!AF128*2</f>
        <v>0</v>
      </c>
      <c r="AK130" s="8">
        <f>'June 2025 YTD'!AG128*2</f>
        <v>0</v>
      </c>
      <c r="AL130" s="8">
        <f>'June 2025 YTD'!AH128*2</f>
        <v>0</v>
      </c>
      <c r="AM130" s="8">
        <f>'June 2025 YTD'!AI128*2</f>
        <v>0</v>
      </c>
      <c r="AN130" s="8">
        <f>'June 2025 YTD'!AJ128*2</f>
        <v>0</v>
      </c>
      <c r="AO130" s="8">
        <f>'June 2025 YTD'!AK128*2</f>
        <v>0</v>
      </c>
      <c r="AP130" s="8">
        <f>'June 2025 YTD'!AL128*2</f>
        <v>0</v>
      </c>
      <c r="AQ130" s="8">
        <f>'June 2025 YTD'!AM128*2</f>
        <v>0</v>
      </c>
      <c r="AR130" s="8">
        <f>'June 2025 YTD'!AN128*2</f>
        <v>0</v>
      </c>
      <c r="AS130" s="8">
        <f>'June 2025 YTD'!AO128*2</f>
        <v>0</v>
      </c>
      <c r="AT130" s="8">
        <f>'June 2025 YTD'!AP128*2</f>
        <v>0</v>
      </c>
      <c r="AU130" s="8">
        <f>'June 2025 YTD'!AQ128*2</f>
        <v>0</v>
      </c>
      <c r="AV130" s="8">
        <f>'June 2025 YTD'!AR128*2+4000</f>
        <v>7741.68</v>
      </c>
      <c r="AW130" s="364"/>
      <c r="AX130" s="8">
        <f t="shared" si="178"/>
        <v>0</v>
      </c>
      <c r="AY130" s="8">
        <f>('June 2024 YTD'!BI123*2)*1.03</f>
        <v>0</v>
      </c>
      <c r="AZ130" s="8">
        <f>('June 2024 YTD'!BJ123*2)*1.03</f>
        <v>0</v>
      </c>
      <c r="BA130" s="8">
        <f>('June 2024 YTD'!BK123*2)*1.03</f>
        <v>0</v>
      </c>
      <c r="BB130" s="8">
        <f>('June 2024 YTD'!BL123*2)*1.03</f>
        <v>0</v>
      </c>
      <c r="BC130" s="8">
        <f>('June 2024 YTD'!BM123*2)*1.03</f>
        <v>0</v>
      </c>
      <c r="BD130" s="8">
        <f>('June 2024 YTD'!BN123*2)*1.03</f>
        <v>0</v>
      </c>
      <c r="BE130" s="8">
        <f>('June 2024 YTD'!BO123*2)*1.03</f>
        <v>0</v>
      </c>
      <c r="BF130" s="8">
        <f>('June 2024 YTD'!BP123*2)*1.03</f>
        <v>0</v>
      </c>
      <c r="BG130" s="8">
        <f>('June 2024 YTD'!BQ123*2)*1.03</f>
        <v>0</v>
      </c>
      <c r="BH130" s="8">
        <f>('June 2024 YTD'!BR123*2)*1.03</f>
        <v>0</v>
      </c>
      <c r="BI130" s="8">
        <f>('June 2024 YTD'!BS123*2)*1.03</f>
        <v>0</v>
      </c>
      <c r="BJ130" s="8">
        <f>('June 2024 YTD'!BT123*2)*1.03</f>
        <v>0</v>
      </c>
      <c r="BK130" s="8">
        <f>('June 2024 YTD'!BU123*2)*1.03</f>
        <v>0</v>
      </c>
      <c r="BL130" s="8">
        <f>('June 2024 YTD'!BV123*2)*1.03</f>
        <v>0</v>
      </c>
      <c r="BM130" s="8">
        <f>SUM(B130:BL130)</f>
        <v>31068.13</v>
      </c>
      <c r="BN130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30" s="85" t="e">
        <f t="shared" si="225"/>
        <v>#REF!</v>
      </c>
      <c r="BS130" s="8" t="e">
        <f>SUM(B130:BL130)-#REF!-AV130-AP130-SUM(AY130:BL130)</f>
        <v>#REF!</v>
      </c>
      <c r="BT130" t="s">
        <v>200</v>
      </c>
    </row>
    <row r="131" spans="1:72">
      <c r="A131" s="9" t="s">
        <v>201</v>
      </c>
      <c r="B131" s="287">
        <f t="shared" ref="B131:BC131" si="229">SUM(B128:B130)</f>
        <v>20588.64</v>
      </c>
      <c r="C131" s="377">
        <f t="shared" si="229"/>
        <v>20599.060000000001</v>
      </c>
      <c r="D131" s="378">
        <f>SUM(D128:D130)</f>
        <v>23461.83</v>
      </c>
      <c r="E131" s="10">
        <f>SUM(E128:E130)</f>
        <v>500</v>
      </c>
      <c r="F131" s="10">
        <f>SUM(F128:F130)</f>
        <v>0</v>
      </c>
      <c r="G131" s="10">
        <f t="shared" si="229"/>
        <v>3645.54</v>
      </c>
      <c r="H131" s="10">
        <f t="shared" si="229"/>
        <v>299.38</v>
      </c>
      <c r="I131" s="10">
        <f t="shared" si="229"/>
        <v>24.78</v>
      </c>
      <c r="J131" s="10">
        <f t="shared" si="229"/>
        <v>0</v>
      </c>
      <c r="K131" s="10">
        <f t="shared" si="229"/>
        <v>203.34</v>
      </c>
      <c r="L131" s="10">
        <f t="shared" si="229"/>
        <v>0</v>
      </c>
      <c r="M131" s="10">
        <f t="shared" si="229"/>
        <v>86.74</v>
      </c>
      <c r="N131" s="10">
        <f t="shared" si="229"/>
        <v>345.34000000000003</v>
      </c>
      <c r="O131" s="10">
        <f t="shared" si="229"/>
        <v>86.74</v>
      </c>
      <c r="P131" s="10">
        <f t="shared" si="229"/>
        <v>0</v>
      </c>
      <c r="Q131" s="10">
        <f t="shared" si="229"/>
        <v>0</v>
      </c>
      <c r="R131" s="10">
        <f t="shared" si="229"/>
        <v>970.74</v>
      </c>
      <c r="S131" s="10">
        <f t="shared" si="229"/>
        <v>0</v>
      </c>
      <c r="T131" s="10">
        <f t="shared" si="229"/>
        <v>0</v>
      </c>
      <c r="U131" s="10">
        <f t="shared" si="229"/>
        <v>0</v>
      </c>
      <c r="V131" s="10">
        <f t="shared" si="229"/>
        <v>0</v>
      </c>
      <c r="W131" s="10">
        <f t="shared" si="229"/>
        <v>0</v>
      </c>
      <c r="X131" s="10">
        <f t="shared" si="229"/>
        <v>111.52</v>
      </c>
      <c r="Y131" s="10">
        <f t="shared" si="229"/>
        <v>0</v>
      </c>
      <c r="Z131" s="10">
        <f t="shared" si="229"/>
        <v>0</v>
      </c>
      <c r="AA131" s="10">
        <f t="shared" si="229"/>
        <v>86.74</v>
      </c>
      <c r="AB131" s="10">
        <f t="shared" si="229"/>
        <v>0</v>
      </c>
      <c r="AC131" s="10">
        <f t="shared" ref="AC131:AD131" si="230">SUM(AC128:AC130)</f>
        <v>0</v>
      </c>
      <c r="AD131" s="10">
        <f t="shared" si="230"/>
        <v>0</v>
      </c>
      <c r="AE131" s="10">
        <f t="shared" si="229"/>
        <v>0</v>
      </c>
      <c r="AF131" s="10">
        <f t="shared" si="229"/>
        <v>0</v>
      </c>
      <c r="AG131" s="10">
        <f t="shared" ref="AG131:AH131" si="231">SUM(AG128:AG130)</f>
        <v>4670.6400000000003</v>
      </c>
      <c r="AH131" s="10">
        <f t="shared" si="231"/>
        <v>744</v>
      </c>
      <c r="AI131" s="10">
        <f t="shared" ref="AI131" si="232">SUM(AI128:AI130)</f>
        <v>126</v>
      </c>
      <c r="AJ131" s="10">
        <f t="shared" ref="AJ131:AO131" si="233">SUM(AJ128:AJ130)</f>
        <v>0</v>
      </c>
      <c r="AK131" s="10">
        <f t="shared" si="233"/>
        <v>0</v>
      </c>
      <c r="AL131" s="10">
        <f t="shared" si="233"/>
        <v>0</v>
      </c>
      <c r="AM131" s="10">
        <f t="shared" si="233"/>
        <v>0</v>
      </c>
      <c r="AN131" s="10">
        <f t="shared" si="233"/>
        <v>0</v>
      </c>
      <c r="AO131" s="10">
        <f t="shared" si="233"/>
        <v>0</v>
      </c>
      <c r="AP131" s="10">
        <f t="shared" si="229"/>
        <v>0</v>
      </c>
      <c r="AQ131" s="10">
        <f t="shared" si="229"/>
        <v>0</v>
      </c>
      <c r="AR131" s="10">
        <f t="shared" si="229"/>
        <v>361.64</v>
      </c>
      <c r="AS131" s="10">
        <f t="shared" si="229"/>
        <v>231</v>
      </c>
      <c r="AT131" s="10">
        <f t="shared" si="229"/>
        <v>0</v>
      </c>
      <c r="AU131" s="10">
        <f t="shared" si="229"/>
        <v>363.24</v>
      </c>
      <c r="AV131" s="10">
        <f t="shared" si="229"/>
        <v>7741.68</v>
      </c>
      <c r="AW131" s="366"/>
      <c r="AX131" s="4">
        <f t="shared" si="178"/>
        <v>0</v>
      </c>
      <c r="AY131" s="10">
        <f t="shared" si="229"/>
        <v>0</v>
      </c>
      <c r="AZ131" s="10">
        <f t="shared" si="229"/>
        <v>0</v>
      </c>
      <c r="BA131" s="10">
        <f t="shared" si="229"/>
        <v>0</v>
      </c>
      <c r="BB131" s="10">
        <f t="shared" si="229"/>
        <v>0</v>
      </c>
      <c r="BC131" s="10">
        <f t="shared" si="229"/>
        <v>0</v>
      </c>
      <c r="BD131" s="10">
        <f t="shared" ref="BD131:BN131" si="234">SUM(BD128:BD130)</f>
        <v>0</v>
      </c>
      <c r="BE131" s="10">
        <f t="shared" si="234"/>
        <v>0</v>
      </c>
      <c r="BF131" s="10">
        <f t="shared" si="234"/>
        <v>0</v>
      </c>
      <c r="BG131" s="10">
        <f t="shared" si="234"/>
        <v>0</v>
      </c>
      <c r="BH131" s="10">
        <f t="shared" si="234"/>
        <v>0</v>
      </c>
      <c r="BI131" s="10">
        <f t="shared" si="234"/>
        <v>0</v>
      </c>
      <c r="BJ131" s="10">
        <f t="shared" si="234"/>
        <v>0</v>
      </c>
      <c r="BK131" s="10">
        <f t="shared" si="234"/>
        <v>0</v>
      </c>
      <c r="BL131" s="10">
        <f t="shared" si="234"/>
        <v>0</v>
      </c>
      <c r="BM131" s="10">
        <f t="shared" si="234"/>
        <v>85248.589999999982</v>
      </c>
      <c r="BN131" s="10" t="e">
        <f t="shared" si="234"/>
        <v>#REF!</v>
      </c>
      <c r="BO131" s="85" t="e">
        <f t="shared" si="225"/>
        <v>#REF!</v>
      </c>
      <c r="BS131" s="10" t="e">
        <f t="shared" ref="BS131" si="235">SUM(BS128:BS130)</f>
        <v>#REF!</v>
      </c>
      <c r="BT131" t="s">
        <v>201</v>
      </c>
    </row>
    <row r="132" spans="1:72">
      <c r="A132" s="6" t="s">
        <v>202</v>
      </c>
      <c r="B132" s="19"/>
      <c r="C132" s="82"/>
      <c r="D132" s="82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366"/>
      <c r="AX132" s="8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O132" s="85">
        <f t="shared" si="225"/>
        <v>0</v>
      </c>
      <c r="BS132" s="4"/>
      <c r="BT132" t="s">
        <v>202</v>
      </c>
    </row>
    <row r="133" spans="1:72">
      <c r="A133" s="7" t="s">
        <v>203</v>
      </c>
      <c r="B133" s="285">
        <v>314077.05</v>
      </c>
      <c r="C133" s="375">
        <f>SUM(E133:AV133)</f>
        <v>414078.07666666666</v>
      </c>
      <c r="D133" s="375">
        <v>974577.88</v>
      </c>
      <c r="E133" s="8">
        <v>0</v>
      </c>
      <c r="F133" s="8">
        <v>0</v>
      </c>
      <c r="G133" s="8">
        <f>'June 2025 YTD'!C131*2</f>
        <v>0</v>
      </c>
      <c r="H133" s="8">
        <f>'June 2025 YTD'!D131*2</f>
        <v>0</v>
      </c>
      <c r="I133" s="8">
        <f>'June 2025 YTD'!E131*2</f>
        <v>0</v>
      </c>
      <c r="J133" s="8">
        <f>'June 2025 YTD'!F131*2</f>
        <v>0</v>
      </c>
      <c r="K133" s="8">
        <f>'June 2025 YTD'!G131*2</f>
        <v>0</v>
      </c>
      <c r="L133" s="8">
        <f>'June 2025 YTD'!H131*2</f>
        <v>0</v>
      </c>
      <c r="M133" s="8">
        <f>'June 2025 YTD'!I131*2</f>
        <v>0</v>
      </c>
      <c r="N133" s="8">
        <f>'June 2025 YTD'!J131*2</f>
        <v>0</v>
      </c>
      <c r="O133" s="8">
        <f>'June 2025 YTD'!K131*2</f>
        <v>0</v>
      </c>
      <c r="P133" s="8">
        <f>'June 2025 YTD'!L131*2</f>
        <v>0</v>
      </c>
      <c r="Q133" s="8">
        <f>'June 2025 YTD'!M131*2</f>
        <v>0</v>
      </c>
      <c r="R133" s="8">
        <f>'June 2025 YTD'!N131*2</f>
        <v>0</v>
      </c>
      <c r="S133" s="8">
        <f>'June 2025 YTD'!O131*2</f>
        <v>0</v>
      </c>
      <c r="T133" s="8">
        <f>'June 2025 YTD'!P131*2</f>
        <v>0</v>
      </c>
      <c r="U133" s="8">
        <f>'June 2025 YTD'!Q131*2</f>
        <v>0</v>
      </c>
      <c r="V133" s="8">
        <f>'June 2025 YTD'!R131*2</f>
        <v>0</v>
      </c>
      <c r="W133" s="8">
        <f>'June 2025 YTD'!S131*2</f>
        <v>0</v>
      </c>
      <c r="X133" s="8">
        <f>'June 2025 YTD'!T131*2</f>
        <v>0</v>
      </c>
      <c r="Y133" s="8">
        <f>'June 2025 YTD'!U131*2</f>
        <v>0</v>
      </c>
      <c r="Z133" s="8">
        <f>'June 2025 YTD'!V131*2</f>
        <v>0</v>
      </c>
      <c r="AA133" s="8">
        <f>'June 2025 YTD'!W131*2</f>
        <v>0</v>
      </c>
      <c r="AB133" s="8">
        <f>'June 2025 YTD'!X131*2</f>
        <v>0</v>
      </c>
      <c r="AC133" s="8">
        <f>'June 2025 YTD'!Y131*2</f>
        <v>0</v>
      </c>
      <c r="AD133" s="8">
        <f>'June 2025 YTD'!Z131*2</f>
        <v>0</v>
      </c>
      <c r="AE133" s="8">
        <f>'June 2025 YTD'!AA131*2</f>
        <v>0</v>
      </c>
      <c r="AF133" s="8">
        <f>'June 2025 YTD'!AB131*2</f>
        <v>0</v>
      </c>
      <c r="AG133" s="8">
        <f>'June 2025 YTD'!AC131*2</f>
        <v>0</v>
      </c>
      <c r="AH133" s="8">
        <f>'June 2025 YTD'!AD131*2</f>
        <v>0</v>
      </c>
      <c r="AI133" s="8">
        <f>'June 2025 YTD'!AE131*2</f>
        <v>0</v>
      </c>
      <c r="AJ133" s="8">
        <f>'June 2025 YTD'!AF131*2</f>
        <v>0</v>
      </c>
      <c r="AK133" s="8">
        <f>'June 2025 YTD'!AG131*2</f>
        <v>0</v>
      </c>
      <c r="AL133" s="8">
        <f>'June 2025 YTD'!AH131*2</f>
        <v>0</v>
      </c>
      <c r="AM133" s="8">
        <f>'June 2025 YTD'!AI131*2</f>
        <v>0</v>
      </c>
      <c r="AN133" s="8">
        <f>'June 2025 YTD'!AJ131*2</f>
        <v>2040</v>
      </c>
      <c r="AO133" s="8">
        <f>AO23</f>
        <v>10000</v>
      </c>
      <c r="AP133" s="8">
        <f>AP34-AP85</f>
        <v>76523.266666666663</v>
      </c>
      <c r="AQ133" s="8">
        <f>'June 2025 YTD'!AM131*2</f>
        <v>0</v>
      </c>
      <c r="AR133" s="8">
        <v>160729.53</v>
      </c>
      <c r="AS133" s="8">
        <v>64785.279999999999</v>
      </c>
      <c r="AT133" s="8">
        <f>'June 2025 YTD'!AP131*2</f>
        <v>0</v>
      </c>
      <c r="AU133" s="8">
        <f>'June 2025 YTD'!AQ131*2</f>
        <v>0</v>
      </c>
      <c r="AV133" s="8">
        <v>100000</v>
      </c>
      <c r="AW133" s="364"/>
      <c r="AX133" s="8">
        <f t="shared" si="178"/>
        <v>0</v>
      </c>
      <c r="AY133" s="8">
        <f t="shared" ref="AY133:BE133" si="236">AY264</f>
        <v>0</v>
      </c>
      <c r="AZ133" s="8">
        <f t="shared" si="236"/>
        <v>0</v>
      </c>
      <c r="BA133" s="8">
        <f t="shared" si="236"/>
        <v>0</v>
      </c>
      <c r="BB133" s="8">
        <f t="shared" si="236"/>
        <v>0</v>
      </c>
      <c r="BC133" s="8">
        <f t="shared" si="236"/>
        <v>0</v>
      </c>
      <c r="BD133" s="8">
        <f t="shared" si="236"/>
        <v>0</v>
      </c>
      <c r="BE133" s="8">
        <f t="shared" si="236"/>
        <v>0</v>
      </c>
      <c r="BF133" s="8">
        <f t="shared" ref="BF133:BL133" si="237">BF264</f>
        <v>0</v>
      </c>
      <c r="BG133" s="8">
        <f t="shared" si="237"/>
        <v>0</v>
      </c>
      <c r="BH133" s="8">
        <f t="shared" si="237"/>
        <v>0</v>
      </c>
      <c r="BI133" s="8">
        <f t="shared" si="237"/>
        <v>0</v>
      </c>
      <c r="BJ133" s="8">
        <f t="shared" si="237"/>
        <v>0</v>
      </c>
      <c r="BK133" s="8">
        <f t="shared" si="237"/>
        <v>0</v>
      </c>
      <c r="BL133" s="8">
        <f t="shared" si="237"/>
        <v>0</v>
      </c>
      <c r="BM133" s="8">
        <f t="shared" ref="BM133:BM145" si="238">SUM(B133:BL133)</f>
        <v>2116811.0833333335</v>
      </c>
      <c r="BN133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33" s="85" t="e">
        <f t="shared" si="225"/>
        <v>#REF!</v>
      </c>
      <c r="BS133" s="8" t="e">
        <f>SUM(B133:BL133)-#REF!-AV133-AP133-SUM(AY133:BL133)</f>
        <v>#REF!</v>
      </c>
      <c r="BT133" t="s">
        <v>203</v>
      </c>
    </row>
    <row r="134" spans="1:72">
      <c r="A134" s="7" t="s">
        <v>204</v>
      </c>
      <c r="B134" s="285">
        <v>2000</v>
      </c>
      <c r="C134" s="375">
        <f t="shared" ref="C134:C144" si="239">SUM(E134:AV134)</f>
        <v>1998.06</v>
      </c>
      <c r="D134" s="375">
        <v>134.72</v>
      </c>
      <c r="E134" s="8">
        <v>0</v>
      </c>
      <c r="F134" s="8">
        <v>0</v>
      </c>
      <c r="G134" s="8">
        <f>'June 2025 YTD'!C132*2</f>
        <v>0</v>
      </c>
      <c r="H134" s="8">
        <f>'June 2025 YTD'!D132*2</f>
        <v>0</v>
      </c>
      <c r="I134" s="8">
        <f>'June 2025 YTD'!E132*2</f>
        <v>0</v>
      </c>
      <c r="J134" s="8">
        <f>'June 2025 YTD'!F132*2</f>
        <v>0</v>
      </c>
      <c r="K134" s="8">
        <f>'June 2025 YTD'!G132*2</f>
        <v>0</v>
      </c>
      <c r="L134" s="8">
        <f>'June 2025 YTD'!H132*2</f>
        <v>0</v>
      </c>
      <c r="M134" s="8">
        <f>'June 2025 YTD'!I132*2</f>
        <v>0</v>
      </c>
      <c r="N134" s="8">
        <f>'June 2025 YTD'!J132*2</f>
        <v>0</v>
      </c>
      <c r="O134" s="8">
        <f>'June 2025 YTD'!K132*2</f>
        <v>0</v>
      </c>
      <c r="P134" s="8">
        <f>'June 2025 YTD'!L132*2</f>
        <v>0</v>
      </c>
      <c r="Q134" s="8">
        <f>'June 2025 YTD'!M132*2</f>
        <v>0</v>
      </c>
      <c r="R134" s="8">
        <v>2000</v>
      </c>
      <c r="S134" s="8">
        <f>'June 2025 YTD'!O132*2</f>
        <v>0</v>
      </c>
      <c r="T134" s="8">
        <f>'June 2025 YTD'!P132*2</f>
        <v>0</v>
      </c>
      <c r="U134" s="8">
        <f>'June 2025 YTD'!Q132*2</f>
        <v>0</v>
      </c>
      <c r="V134" s="8">
        <f>'June 2025 YTD'!R132*2</f>
        <v>0</v>
      </c>
      <c r="W134" s="8">
        <f>'June 2025 YTD'!S132*2</f>
        <v>0</v>
      </c>
      <c r="X134" s="8">
        <f>'June 2025 YTD'!T132*2</f>
        <v>0</v>
      </c>
      <c r="Y134" s="8">
        <f>'June 2025 YTD'!U132*2</f>
        <v>0</v>
      </c>
      <c r="Z134" s="8">
        <f>'June 2025 YTD'!V132*2</f>
        <v>0</v>
      </c>
      <c r="AA134" s="8">
        <f>'June 2025 YTD'!W132*2</f>
        <v>0</v>
      </c>
      <c r="AB134" s="8">
        <f>'June 2025 YTD'!X132*2</f>
        <v>0</v>
      </c>
      <c r="AC134" s="8">
        <f>'June 2025 YTD'!Y132*2</f>
        <v>0</v>
      </c>
      <c r="AD134" s="8">
        <f>'June 2025 YTD'!Z132*2</f>
        <v>0</v>
      </c>
      <c r="AE134" s="8">
        <f>'June 2025 YTD'!AA132*2</f>
        <v>0</v>
      </c>
      <c r="AF134" s="8">
        <f>'June 2025 YTD'!AB132*2</f>
        <v>0</v>
      </c>
      <c r="AG134" s="8">
        <f>'June 2025 YTD'!AC132*2</f>
        <v>0</v>
      </c>
      <c r="AH134" s="8">
        <f>'June 2025 YTD'!AD132*2</f>
        <v>0</v>
      </c>
      <c r="AI134" s="8">
        <f>'June 2025 YTD'!AE132*2</f>
        <v>0</v>
      </c>
      <c r="AJ134" s="8">
        <f>'June 2025 YTD'!AF132*2</f>
        <v>0</v>
      </c>
      <c r="AK134" s="8">
        <f>'June 2025 YTD'!AG132*2</f>
        <v>0</v>
      </c>
      <c r="AL134" s="8">
        <f>'June 2025 YTD'!AH132*2</f>
        <v>0</v>
      </c>
      <c r="AM134" s="8">
        <f>'June 2025 YTD'!AI132*2</f>
        <v>0</v>
      </c>
      <c r="AN134" s="8">
        <f>'June 2025 YTD'!AJ132*2-1.94</f>
        <v>-1.94</v>
      </c>
      <c r="AO134" s="8">
        <f>'June 2025 YTD'!AK132*2</f>
        <v>0</v>
      </c>
      <c r="AP134" s="8">
        <f>'June 2025 YTD'!AL132*2</f>
        <v>0</v>
      </c>
      <c r="AQ134" s="8">
        <f>'June 2025 YTD'!AM132*2</f>
        <v>0</v>
      </c>
      <c r="AR134" s="8">
        <f>'June 2025 YTD'!AN132*2</f>
        <v>0</v>
      </c>
      <c r="AS134" s="8">
        <f>'June 2025 YTD'!AO132*2</f>
        <v>0</v>
      </c>
      <c r="AT134" s="8">
        <f>'June 2025 YTD'!AP132*2</f>
        <v>0</v>
      </c>
      <c r="AU134" s="8">
        <f>'June 2025 YTD'!AQ132*2</f>
        <v>0</v>
      </c>
      <c r="AV134" s="8">
        <f>'June 2025 YTD'!AR132*2</f>
        <v>0</v>
      </c>
      <c r="AW134" s="364"/>
      <c r="AX134" s="8">
        <f t="shared" si="178"/>
        <v>0</v>
      </c>
      <c r="AY134" s="8">
        <f>('June 2024 YTD'!BI127*2)*1.03</f>
        <v>0</v>
      </c>
      <c r="AZ134" s="8">
        <f>('June 2024 YTD'!BJ127*2)*1.03</f>
        <v>0</v>
      </c>
      <c r="BA134" s="8">
        <f>('June 2024 YTD'!BK127*2)*1.03</f>
        <v>0</v>
      </c>
      <c r="BB134" s="8">
        <f>('June 2024 YTD'!BL127*2)*1.03</f>
        <v>0</v>
      </c>
      <c r="BC134" s="8">
        <f>('June 2024 YTD'!BM127*2)*1.03</f>
        <v>0</v>
      </c>
      <c r="BD134" s="8">
        <f>('June 2024 YTD'!BN127*2)*1.03</f>
        <v>0</v>
      </c>
      <c r="BE134" s="8">
        <f>('June 2024 YTD'!BO127*2)*1.03</f>
        <v>0</v>
      </c>
      <c r="BF134" s="8">
        <f>('June 2024 YTD'!BP127*2)*1.03</f>
        <v>0</v>
      </c>
      <c r="BG134" s="8">
        <f>('June 2024 YTD'!BQ127*2)*1.03</f>
        <v>0</v>
      </c>
      <c r="BH134" s="8">
        <f>('June 2024 YTD'!BR127*2)*1.03</f>
        <v>0</v>
      </c>
      <c r="BI134" s="8">
        <f>('June 2024 YTD'!BS127*2)*1.03</f>
        <v>0</v>
      </c>
      <c r="BJ134" s="8">
        <f>('June 2024 YTD'!BT127*2)*1.03</f>
        <v>0</v>
      </c>
      <c r="BK134" s="8">
        <f>('June 2024 YTD'!BU127*2)*1.03</f>
        <v>0</v>
      </c>
      <c r="BL134" s="8">
        <f>('June 2024 YTD'!BV127*2)*1.03</f>
        <v>0</v>
      </c>
      <c r="BM134" s="8">
        <f t="shared" si="238"/>
        <v>6130.84</v>
      </c>
      <c r="BN134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34" s="85" t="e">
        <f t="shared" si="225"/>
        <v>#REF!</v>
      </c>
      <c r="BS134" s="8" t="e">
        <f>SUM(B134:BL134)-#REF!-AV134-AP134-SUM(AY134:BL134)</f>
        <v>#REF!</v>
      </c>
      <c r="BT134" t="s">
        <v>204</v>
      </c>
    </row>
    <row r="135" spans="1:72">
      <c r="A135" s="7" t="s">
        <v>205</v>
      </c>
      <c r="B135" s="285">
        <v>2173.86</v>
      </c>
      <c r="C135" s="375">
        <f t="shared" si="239"/>
        <v>2173.8562000000002</v>
      </c>
      <c r="D135" s="375">
        <v>2799.42</v>
      </c>
      <c r="E135" s="8">
        <v>0</v>
      </c>
      <c r="F135" s="8">
        <v>0</v>
      </c>
      <c r="G135" s="8">
        <f>'June 2025 YTD'!C133*2</f>
        <v>0</v>
      </c>
      <c r="H135" s="8">
        <f>'June 2025 YTD'!D133*2</f>
        <v>0</v>
      </c>
      <c r="I135" s="8">
        <f>'June 2025 YTD'!E133*2</f>
        <v>0</v>
      </c>
      <c r="J135" s="8">
        <f>'June 2025 YTD'!F133*2</f>
        <v>0</v>
      </c>
      <c r="K135" s="8">
        <f>'June 2025 YTD'!G133*2</f>
        <v>0</v>
      </c>
      <c r="L135" s="8">
        <f>'June 2025 YTD'!H133*2</f>
        <v>0</v>
      </c>
      <c r="M135" s="8">
        <f>'June 2025 YTD'!I133*2</f>
        <v>0</v>
      </c>
      <c r="N135" s="8">
        <f>'June 2025 YTD'!J133*2</f>
        <v>0</v>
      </c>
      <c r="O135" s="8">
        <f>'June 2025 YTD'!K133*2</f>
        <v>0</v>
      </c>
      <c r="P135" s="8">
        <f>'June 2025 YTD'!L133*2</f>
        <v>0</v>
      </c>
      <c r="Q135" s="8">
        <f>'June 2025 YTD'!M133*2</f>
        <v>0</v>
      </c>
      <c r="R135" s="8">
        <f>'June 2025 YTD'!N133*2*1.03</f>
        <v>2173.8562000000002</v>
      </c>
      <c r="S135" s="8">
        <f>'June 2025 YTD'!O133*2</f>
        <v>0</v>
      </c>
      <c r="T135" s="8">
        <f>'June 2025 YTD'!P133*2</f>
        <v>0</v>
      </c>
      <c r="U135" s="8">
        <f>'June 2025 YTD'!Q133*2</f>
        <v>0</v>
      </c>
      <c r="V135" s="8">
        <f>'June 2025 YTD'!R133*2</f>
        <v>0</v>
      </c>
      <c r="W135" s="8">
        <f>'June 2025 YTD'!S133*2</f>
        <v>0</v>
      </c>
      <c r="X135" s="8">
        <f>'June 2025 YTD'!T133*2</f>
        <v>0</v>
      </c>
      <c r="Y135" s="8">
        <f>'June 2025 YTD'!U133*2</f>
        <v>0</v>
      </c>
      <c r="Z135" s="8">
        <f>'June 2025 YTD'!V133*2</f>
        <v>0</v>
      </c>
      <c r="AA135" s="8">
        <f>'June 2025 YTD'!W133*2</f>
        <v>0</v>
      </c>
      <c r="AB135" s="8">
        <f>'June 2025 YTD'!X133*2</f>
        <v>0</v>
      </c>
      <c r="AC135" s="8">
        <f>'June 2025 YTD'!Y133*2</f>
        <v>0</v>
      </c>
      <c r="AD135" s="8">
        <f>'June 2025 YTD'!Z133*2</f>
        <v>0</v>
      </c>
      <c r="AE135" s="8">
        <f>'June 2025 YTD'!AA133*2</f>
        <v>0</v>
      </c>
      <c r="AF135" s="8">
        <f>'June 2025 YTD'!AB133*2</f>
        <v>0</v>
      </c>
      <c r="AG135" s="8">
        <f>'June 2025 YTD'!AC133*2</f>
        <v>0</v>
      </c>
      <c r="AH135" s="8">
        <f>'June 2025 YTD'!AD133*2</f>
        <v>0</v>
      </c>
      <c r="AI135" s="8">
        <f>'June 2025 YTD'!AE133*2</f>
        <v>0</v>
      </c>
      <c r="AJ135" s="8">
        <f>'June 2025 YTD'!AF133*2</f>
        <v>0</v>
      </c>
      <c r="AK135" s="8">
        <f>'June 2025 YTD'!AG133*2</f>
        <v>0</v>
      </c>
      <c r="AL135" s="8">
        <f>'June 2025 YTD'!AH133*2</f>
        <v>0</v>
      </c>
      <c r="AM135" s="8">
        <f>'June 2025 YTD'!AI133*2</f>
        <v>0</v>
      </c>
      <c r="AN135" s="8">
        <f>'June 2025 YTD'!AJ133*2</f>
        <v>0</v>
      </c>
      <c r="AO135" s="8">
        <f>'June 2025 YTD'!AK133*2</f>
        <v>0</v>
      </c>
      <c r="AP135" s="8">
        <f>'June 2025 YTD'!AL133*2</f>
        <v>0</v>
      </c>
      <c r="AQ135" s="8">
        <f>'June 2025 YTD'!AM133*2</f>
        <v>0</v>
      </c>
      <c r="AR135" s="8">
        <f>'June 2025 YTD'!AN133*2</f>
        <v>0</v>
      </c>
      <c r="AS135" s="8">
        <f>'June 2025 YTD'!AO133*2</f>
        <v>0</v>
      </c>
      <c r="AT135" s="8">
        <f>'June 2025 YTD'!AP133*2</f>
        <v>0</v>
      </c>
      <c r="AU135" s="8">
        <f>'June 2025 YTD'!AQ133*2</f>
        <v>0</v>
      </c>
      <c r="AV135" s="8">
        <f>'June 2025 YTD'!AR133*2</f>
        <v>0</v>
      </c>
      <c r="AW135" s="364"/>
      <c r="AX135" s="8">
        <f t="shared" si="178"/>
        <v>0</v>
      </c>
      <c r="AY135" s="8">
        <f>('June 2024 YTD'!BI128*2)*1.03</f>
        <v>0</v>
      </c>
      <c r="AZ135" s="8">
        <f>('June 2024 YTD'!BJ128*2)*1.03</f>
        <v>0</v>
      </c>
      <c r="BA135" s="8">
        <f>('June 2024 YTD'!BK128*2)*1.03</f>
        <v>0</v>
      </c>
      <c r="BB135" s="8">
        <f>('June 2024 YTD'!BL128*2)*1.03</f>
        <v>0</v>
      </c>
      <c r="BC135" s="8">
        <f>('June 2024 YTD'!BM128*2)*1.03</f>
        <v>0</v>
      </c>
      <c r="BD135" s="8">
        <f>('June 2024 YTD'!BN128*2)*1.03</f>
        <v>0</v>
      </c>
      <c r="BE135" s="8">
        <f>('June 2024 YTD'!BO128*2)*1.03</f>
        <v>0</v>
      </c>
      <c r="BF135" s="8">
        <f>('June 2024 YTD'!BP128*2)*1.03</f>
        <v>0</v>
      </c>
      <c r="BG135" s="8">
        <f>('June 2024 YTD'!BQ128*2)*1.03</f>
        <v>0</v>
      </c>
      <c r="BH135" s="8">
        <f>('June 2024 YTD'!BR128*2)*1.03</f>
        <v>0</v>
      </c>
      <c r="BI135" s="8">
        <f>('June 2024 YTD'!BS128*2)*1.03</f>
        <v>0</v>
      </c>
      <c r="BJ135" s="8">
        <f>('June 2024 YTD'!BT128*2)*1.03</f>
        <v>0</v>
      </c>
      <c r="BK135" s="8">
        <f>('June 2024 YTD'!BU128*2)*1.03</f>
        <v>0</v>
      </c>
      <c r="BL135" s="8">
        <f>('June 2024 YTD'!BV128*2)*1.03</f>
        <v>0</v>
      </c>
      <c r="BM135" s="8">
        <f t="shared" si="238"/>
        <v>9320.992400000001</v>
      </c>
      <c r="BN135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35" s="85" t="e">
        <f t="shared" si="225"/>
        <v>#REF!</v>
      </c>
      <c r="BS135" s="8" t="e">
        <f>SUM(B135:BL135)-#REF!-AV135-AP135-SUM(AY135:BL135)</f>
        <v>#REF!</v>
      </c>
      <c r="BT135" t="s">
        <v>205</v>
      </c>
    </row>
    <row r="136" spans="1:72">
      <c r="A136" s="7" t="s">
        <v>206</v>
      </c>
      <c r="B136" s="285">
        <v>1100</v>
      </c>
      <c r="C136" s="375">
        <f t="shared" si="239"/>
        <v>1100</v>
      </c>
      <c r="D136" s="375">
        <v>1195.74</v>
      </c>
      <c r="E136" s="8">
        <v>0</v>
      </c>
      <c r="F136" s="8">
        <v>0</v>
      </c>
      <c r="G136" s="8">
        <f>'June 2025 YTD'!C134*2</f>
        <v>0</v>
      </c>
      <c r="H136" s="8">
        <f>'June 2025 YTD'!D134*2</f>
        <v>0</v>
      </c>
      <c r="I136" s="8">
        <f>'June 2025 YTD'!E134*2</f>
        <v>0</v>
      </c>
      <c r="J136" s="8">
        <f>'June 2025 YTD'!F134*2</f>
        <v>0</v>
      </c>
      <c r="K136" s="8">
        <f>'June 2025 YTD'!G134*2</f>
        <v>0</v>
      </c>
      <c r="L136" s="8">
        <f>'June 2025 YTD'!H134*2</f>
        <v>0</v>
      </c>
      <c r="M136" s="8">
        <f>'June 2025 YTD'!I134*2</f>
        <v>0</v>
      </c>
      <c r="N136" s="8">
        <f>'June 2025 YTD'!J134*2</f>
        <v>0</v>
      </c>
      <c r="O136" s="8">
        <f>'June 2025 YTD'!K134*2</f>
        <v>0</v>
      </c>
      <c r="P136" s="8">
        <f>'June 2025 YTD'!L134*2</f>
        <v>0</v>
      </c>
      <c r="Q136" s="8">
        <f>'June 2025 YTD'!M134*2</f>
        <v>0</v>
      </c>
      <c r="R136" s="8">
        <v>1100</v>
      </c>
      <c r="S136" s="8">
        <f>'June 2025 YTD'!O134*2</f>
        <v>0</v>
      </c>
      <c r="T136" s="8">
        <f>'June 2025 YTD'!P134*2</f>
        <v>0</v>
      </c>
      <c r="U136" s="8">
        <f>'June 2025 YTD'!Q134*2</f>
        <v>0</v>
      </c>
      <c r="V136" s="8">
        <f>'June 2025 YTD'!R134*2</f>
        <v>0</v>
      </c>
      <c r="W136" s="8">
        <f>'June 2025 YTD'!S134*2</f>
        <v>0</v>
      </c>
      <c r="X136" s="8">
        <f>'June 2025 YTD'!T134*2</f>
        <v>0</v>
      </c>
      <c r="Y136" s="8">
        <f>'June 2025 YTD'!U134*2</f>
        <v>0</v>
      </c>
      <c r="Z136" s="8">
        <f>'June 2025 YTD'!V134*2</f>
        <v>0</v>
      </c>
      <c r="AA136" s="8">
        <f>'June 2025 YTD'!W134*2</f>
        <v>0</v>
      </c>
      <c r="AB136" s="8">
        <f>'June 2025 YTD'!X134*2</f>
        <v>0</v>
      </c>
      <c r="AC136" s="8">
        <f>'June 2025 YTD'!Y134*2</f>
        <v>0</v>
      </c>
      <c r="AD136" s="8">
        <f>'June 2025 YTD'!Z134*2</f>
        <v>0</v>
      </c>
      <c r="AE136" s="8">
        <f>'June 2025 YTD'!AA134*2</f>
        <v>0</v>
      </c>
      <c r="AF136" s="8">
        <f>'June 2025 YTD'!AB134*2</f>
        <v>0</v>
      </c>
      <c r="AG136" s="8">
        <f>'June 2025 YTD'!AC134*2</f>
        <v>0</v>
      </c>
      <c r="AH136" s="8">
        <f>'June 2025 YTD'!AD134*2</f>
        <v>0</v>
      </c>
      <c r="AI136" s="8">
        <f>'June 2025 YTD'!AE134*2</f>
        <v>0</v>
      </c>
      <c r="AJ136" s="8">
        <f>'June 2025 YTD'!AF134*2</f>
        <v>0</v>
      </c>
      <c r="AK136" s="8">
        <f>'June 2025 YTD'!AG134*2</f>
        <v>0</v>
      </c>
      <c r="AL136" s="8">
        <f>'June 2025 YTD'!AH134*2</f>
        <v>0</v>
      </c>
      <c r="AM136" s="8">
        <f>'June 2025 YTD'!AI134*2</f>
        <v>0</v>
      </c>
      <c r="AN136" s="8">
        <f>'June 2025 YTD'!AJ134*2</f>
        <v>0</v>
      </c>
      <c r="AO136" s="8">
        <f>'June 2025 YTD'!AK134*2</f>
        <v>0</v>
      </c>
      <c r="AP136" s="8">
        <f>'June 2025 YTD'!AL134*2</f>
        <v>0</v>
      </c>
      <c r="AQ136" s="8">
        <f>'June 2025 YTD'!AM134*2</f>
        <v>0</v>
      </c>
      <c r="AR136" s="8">
        <f>'June 2025 YTD'!AN134*2</f>
        <v>0</v>
      </c>
      <c r="AS136" s="8">
        <f>'June 2025 YTD'!AO134*2</f>
        <v>0</v>
      </c>
      <c r="AT136" s="8">
        <f>'June 2025 YTD'!AP134*2</f>
        <v>0</v>
      </c>
      <c r="AU136" s="8">
        <f>'June 2025 YTD'!AQ134*2</f>
        <v>0</v>
      </c>
      <c r="AV136" s="8">
        <f>'June 2025 YTD'!AR134*2</f>
        <v>0</v>
      </c>
      <c r="AW136" s="364"/>
      <c r="AX136" s="8">
        <f t="shared" si="178"/>
        <v>0</v>
      </c>
      <c r="AY136" s="8">
        <f>('June 2024 YTD'!BI129*2)*1.03</f>
        <v>0</v>
      </c>
      <c r="AZ136" s="8">
        <f>('June 2024 YTD'!BJ129*2)*1.03</f>
        <v>0</v>
      </c>
      <c r="BA136" s="8">
        <f>('June 2024 YTD'!BK129*2)*1.03</f>
        <v>0</v>
      </c>
      <c r="BB136" s="8">
        <f>('June 2024 YTD'!BL129*2)*1.03</f>
        <v>0</v>
      </c>
      <c r="BC136" s="8">
        <f>('June 2024 YTD'!BM129*2)*1.03</f>
        <v>0</v>
      </c>
      <c r="BD136" s="8">
        <f>('June 2024 YTD'!BN129*2)*1.03</f>
        <v>0</v>
      </c>
      <c r="BE136" s="8">
        <f>('June 2024 YTD'!BO129*2)*1.03</f>
        <v>0</v>
      </c>
      <c r="BF136" s="8">
        <f>('June 2024 YTD'!BP129*2)*1.03</f>
        <v>0</v>
      </c>
      <c r="BG136" s="8">
        <f>('June 2024 YTD'!BQ129*2)*1.03</f>
        <v>0</v>
      </c>
      <c r="BH136" s="8">
        <f>('June 2024 YTD'!BR129*2)*1.03</f>
        <v>0</v>
      </c>
      <c r="BI136" s="8">
        <f>('June 2024 YTD'!BS129*2)*1.03</f>
        <v>0</v>
      </c>
      <c r="BJ136" s="8">
        <f>('June 2024 YTD'!BT129*2)*1.03</f>
        <v>0</v>
      </c>
      <c r="BK136" s="8">
        <f>('June 2024 YTD'!BU129*2)*1.03</f>
        <v>0</v>
      </c>
      <c r="BL136" s="8">
        <f>('June 2024 YTD'!BV129*2)*1.03</f>
        <v>0</v>
      </c>
      <c r="BM136" s="8">
        <f t="shared" si="238"/>
        <v>4495.74</v>
      </c>
      <c r="BN136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36" s="85" t="e">
        <f t="shared" si="225"/>
        <v>#REF!</v>
      </c>
      <c r="BS136" s="8" t="e">
        <f>SUM(B136:BL136)-#REF!-AV136-AP136-SUM(AY136:BL136)</f>
        <v>#REF!</v>
      </c>
      <c r="BT136" t="s">
        <v>206</v>
      </c>
    </row>
    <row r="137" spans="1:72">
      <c r="A137" s="7" t="s">
        <v>207</v>
      </c>
      <c r="B137" s="285">
        <v>1500</v>
      </c>
      <c r="C137" s="375">
        <f t="shared" si="239"/>
        <v>1500</v>
      </c>
      <c r="D137" s="375">
        <v>1198.1099999999999</v>
      </c>
      <c r="E137" s="8">
        <v>0</v>
      </c>
      <c r="F137" s="8">
        <v>0</v>
      </c>
      <c r="G137" s="8">
        <f>'June 2025 YTD'!C135*2</f>
        <v>0</v>
      </c>
      <c r="H137" s="8">
        <f>'June 2025 YTD'!D135*2</f>
        <v>0</v>
      </c>
      <c r="I137" s="8">
        <f>'June 2025 YTD'!E135*2</f>
        <v>0</v>
      </c>
      <c r="J137" s="8">
        <f>'June 2025 YTD'!F135*2</f>
        <v>0</v>
      </c>
      <c r="K137" s="8">
        <f>'June 2025 YTD'!G135*2</f>
        <v>0</v>
      </c>
      <c r="L137" s="8">
        <f>'June 2025 YTD'!H135*2</f>
        <v>0</v>
      </c>
      <c r="M137" s="8">
        <f>'June 2025 YTD'!I135*2</f>
        <v>0</v>
      </c>
      <c r="N137" s="8">
        <f>'June 2025 YTD'!J135*2</f>
        <v>0</v>
      </c>
      <c r="O137" s="8">
        <f>'June 2025 YTD'!K135*2</f>
        <v>0</v>
      </c>
      <c r="P137" s="8">
        <f>'June 2025 YTD'!L135*2</f>
        <v>0</v>
      </c>
      <c r="Q137" s="8">
        <f>'June 2025 YTD'!M135*2</f>
        <v>0</v>
      </c>
      <c r="R137" s="8">
        <f>'June 2025 YTD'!N135*2*1.03</f>
        <v>0</v>
      </c>
      <c r="S137" s="8">
        <f>'June 2025 YTD'!O135*2</f>
        <v>0</v>
      </c>
      <c r="T137" s="8">
        <f>'June 2025 YTD'!P135*2</f>
        <v>0</v>
      </c>
      <c r="U137" s="8">
        <f>'June 2025 YTD'!Q135*2</f>
        <v>0</v>
      </c>
      <c r="V137" s="8">
        <f>'June 2025 YTD'!R135*2</f>
        <v>0</v>
      </c>
      <c r="W137" s="8">
        <f>'June 2025 YTD'!S135*2</f>
        <v>0</v>
      </c>
      <c r="X137" s="8">
        <f>'June 2025 YTD'!T135*2</f>
        <v>0</v>
      </c>
      <c r="Y137" s="8">
        <f>'June 2025 YTD'!U135*2</f>
        <v>0</v>
      </c>
      <c r="Z137" s="8">
        <f>'June 2025 YTD'!V135*2</f>
        <v>0</v>
      </c>
      <c r="AA137" s="8">
        <f>'June 2025 YTD'!W135*2</f>
        <v>0</v>
      </c>
      <c r="AB137" s="8">
        <f>'June 2025 YTD'!X135*2</f>
        <v>0</v>
      </c>
      <c r="AC137" s="8">
        <f>'June 2025 YTD'!Y135*2</f>
        <v>0</v>
      </c>
      <c r="AD137" s="8">
        <f>'June 2025 YTD'!Z135*2</f>
        <v>0</v>
      </c>
      <c r="AE137" s="8">
        <f>'June 2025 YTD'!AA135*2</f>
        <v>0</v>
      </c>
      <c r="AF137" s="8">
        <f>'June 2025 YTD'!AB135*2</f>
        <v>0</v>
      </c>
      <c r="AG137" s="8">
        <f>'June 2025 YTD'!AC135*2</f>
        <v>0</v>
      </c>
      <c r="AH137" s="8">
        <f>'June 2025 YTD'!AD135*2</f>
        <v>0</v>
      </c>
      <c r="AI137" s="8">
        <f>'June 2025 YTD'!AE135*2</f>
        <v>0</v>
      </c>
      <c r="AJ137" s="8">
        <f>'June 2025 YTD'!AF135*2</f>
        <v>0</v>
      </c>
      <c r="AK137" s="8">
        <f>'June 2025 YTD'!AG135*2</f>
        <v>0</v>
      </c>
      <c r="AL137" s="8">
        <f>'June 2025 YTD'!AH135*2</f>
        <v>0</v>
      </c>
      <c r="AM137" s="8">
        <f>'June 2025 YTD'!AI135*2</f>
        <v>0</v>
      </c>
      <c r="AN137" s="8">
        <f>'June 2025 YTD'!AJ135*2</f>
        <v>0</v>
      </c>
      <c r="AO137" s="8">
        <f>'June 2025 YTD'!AK135*2</f>
        <v>0</v>
      </c>
      <c r="AP137" s="8">
        <f>'June 2025 YTD'!AL135*2</f>
        <v>0</v>
      </c>
      <c r="AQ137" s="8">
        <f>'June 2025 YTD'!AM135*2</f>
        <v>0</v>
      </c>
      <c r="AR137" s="8">
        <f>'June 2025 YTD'!AN135*2</f>
        <v>0</v>
      </c>
      <c r="AS137" s="8">
        <f>'June 2025 YTD'!AO135*2</f>
        <v>0</v>
      </c>
      <c r="AT137" s="8">
        <f>'June 2025 YTD'!AP135*2</f>
        <v>0</v>
      </c>
      <c r="AU137" s="8">
        <v>1500</v>
      </c>
      <c r="AV137" s="8">
        <f>'June 2025 YTD'!AR135*2</f>
        <v>0</v>
      </c>
      <c r="AW137" s="364"/>
      <c r="AX137" s="8">
        <f t="shared" si="178"/>
        <v>0</v>
      </c>
      <c r="AY137" s="8">
        <f>('June 2024 YTD'!BI130*2)*1.03</f>
        <v>0</v>
      </c>
      <c r="AZ137" s="8">
        <f>('June 2024 YTD'!BJ130*2)*1.03</f>
        <v>0</v>
      </c>
      <c r="BA137" s="8">
        <f>('June 2024 YTD'!BK130*2)*1.03</f>
        <v>0</v>
      </c>
      <c r="BB137" s="8">
        <f>('June 2024 YTD'!BL130*2)*1.03</f>
        <v>0</v>
      </c>
      <c r="BC137" s="8">
        <f>('June 2024 YTD'!BM130*2)*1.03</f>
        <v>0</v>
      </c>
      <c r="BD137" s="8">
        <f>('June 2024 YTD'!BN130*2)*1.03</f>
        <v>0</v>
      </c>
      <c r="BE137" s="8">
        <f>('June 2024 YTD'!BO130*2)*1.03</f>
        <v>0</v>
      </c>
      <c r="BF137" s="8">
        <f>('June 2024 YTD'!BP130*2)*1.03</f>
        <v>0</v>
      </c>
      <c r="BG137" s="8">
        <f>('June 2024 YTD'!BQ130*2)*1.03</f>
        <v>0</v>
      </c>
      <c r="BH137" s="8">
        <f>('June 2024 YTD'!BR130*2)*1.03</f>
        <v>0</v>
      </c>
      <c r="BI137" s="8">
        <f>('June 2024 YTD'!BS130*2)*1.03</f>
        <v>0</v>
      </c>
      <c r="BJ137" s="8">
        <f>('June 2024 YTD'!BT130*2)*1.03</f>
        <v>0</v>
      </c>
      <c r="BK137" s="8">
        <f>('June 2024 YTD'!BU130*2)*1.03</f>
        <v>0</v>
      </c>
      <c r="BL137" s="8">
        <f>('June 2024 YTD'!BV130*2)*1.03</f>
        <v>0</v>
      </c>
      <c r="BM137" s="8">
        <f t="shared" si="238"/>
        <v>5698.11</v>
      </c>
      <c r="BN137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37" s="85" t="e">
        <f t="shared" si="225"/>
        <v>#REF!</v>
      </c>
      <c r="BS137" s="8" t="e">
        <f>SUM(B137:BL137)-#REF!-AV137-AP137-SUM(AY137:BL137)</f>
        <v>#REF!</v>
      </c>
      <c r="BT137" t="s">
        <v>207</v>
      </c>
    </row>
    <row r="138" spans="1:72">
      <c r="A138" s="7" t="s">
        <v>208</v>
      </c>
      <c r="B138" s="285">
        <v>3700</v>
      </c>
      <c r="C138" s="375">
        <f t="shared" si="239"/>
        <v>3700</v>
      </c>
      <c r="D138" s="375">
        <v>219.98</v>
      </c>
      <c r="E138" s="8">
        <v>0</v>
      </c>
      <c r="F138" s="8">
        <v>0</v>
      </c>
      <c r="G138" s="8">
        <f>'June 2025 YTD'!C137</f>
        <v>0</v>
      </c>
      <c r="H138" s="8">
        <f>'June 2025 YTD'!D137</f>
        <v>0</v>
      </c>
      <c r="I138" s="8">
        <f>'June 2025 YTD'!E137</f>
        <v>0</v>
      </c>
      <c r="J138" s="8">
        <f>'June 2025 YTD'!F137</f>
        <v>0</v>
      </c>
      <c r="K138" s="8">
        <f>'June 2025 YTD'!G137</f>
        <v>0</v>
      </c>
      <c r="L138" s="8">
        <f>'June 2025 YTD'!H137</f>
        <v>0</v>
      </c>
      <c r="M138" s="8">
        <f>'June 2025 YTD'!I137</f>
        <v>0</v>
      </c>
      <c r="N138" s="8">
        <f>'June 2025 YTD'!J137</f>
        <v>0</v>
      </c>
      <c r="O138" s="8">
        <f>'June 2025 YTD'!K137</f>
        <v>0</v>
      </c>
      <c r="P138" s="8">
        <f>'June 2025 YTD'!L137</f>
        <v>0</v>
      </c>
      <c r="Q138" s="8">
        <f>'June 2025 YTD'!M137</f>
        <v>0</v>
      </c>
      <c r="R138" s="8">
        <f>'June 2025 YTD'!N136*2*1.03</f>
        <v>0</v>
      </c>
      <c r="S138" s="8">
        <f>'June 2025 YTD'!O137</f>
        <v>0</v>
      </c>
      <c r="T138" s="8">
        <f>'June 2025 YTD'!P137</f>
        <v>0</v>
      </c>
      <c r="U138" s="8">
        <f>'June 2025 YTD'!Q137</f>
        <v>0</v>
      </c>
      <c r="V138" s="8">
        <f>'June 2025 YTD'!R137</f>
        <v>0</v>
      </c>
      <c r="W138" s="8">
        <f>'June 2025 YTD'!S137</f>
        <v>0</v>
      </c>
      <c r="X138" s="8">
        <f>'June 2025 YTD'!T137</f>
        <v>0</v>
      </c>
      <c r="Y138" s="8">
        <f>'June 2025 YTD'!U137</f>
        <v>0</v>
      </c>
      <c r="Z138" s="8">
        <f>'June 2025 YTD'!V137</f>
        <v>0</v>
      </c>
      <c r="AA138" s="8">
        <f>'June 2025 YTD'!W137</f>
        <v>0</v>
      </c>
      <c r="AB138" s="8">
        <f>'June 2025 YTD'!X137</f>
        <v>0</v>
      </c>
      <c r="AC138" s="8">
        <f>'June 2025 YTD'!Y137</f>
        <v>0</v>
      </c>
      <c r="AD138" s="8">
        <f>'June 2025 YTD'!Z137</f>
        <v>0</v>
      </c>
      <c r="AE138" s="8">
        <f>'June 2025 YTD'!AA137</f>
        <v>0</v>
      </c>
      <c r="AF138" s="8">
        <f>'June 2025 YTD'!AB137</f>
        <v>0</v>
      </c>
      <c r="AG138" s="8">
        <f>3700*60%</f>
        <v>2220</v>
      </c>
      <c r="AH138" s="8">
        <f>3700*40%</f>
        <v>1480</v>
      </c>
      <c r="AI138" s="8">
        <f>'June 2025 YTD'!AE137</f>
        <v>0</v>
      </c>
      <c r="AJ138" s="8">
        <f>'June 2025 YTD'!AF137</f>
        <v>0</v>
      </c>
      <c r="AK138" s="8">
        <f>'June 2025 YTD'!AG137</f>
        <v>0</v>
      </c>
      <c r="AL138" s="8">
        <f>'June 2025 YTD'!AH137</f>
        <v>0</v>
      </c>
      <c r="AM138" s="8">
        <f>'June 2025 YTD'!AI137</f>
        <v>0</v>
      </c>
      <c r="AN138" s="8">
        <f>'June 2025 YTD'!AJ137</f>
        <v>0</v>
      </c>
      <c r="AO138" s="8">
        <f>'June 2025 YTD'!AK137</f>
        <v>0</v>
      </c>
      <c r="AP138" s="8">
        <f>'June 2025 YTD'!AL137</f>
        <v>0</v>
      </c>
      <c r="AQ138" s="8">
        <f>'June 2025 YTD'!AM137</f>
        <v>0</v>
      </c>
      <c r="AR138" s="8">
        <f>'June 2025 YTD'!AN137</f>
        <v>0</v>
      </c>
      <c r="AS138" s="8">
        <f>'June 2025 YTD'!AO137</f>
        <v>0</v>
      </c>
      <c r="AT138" s="8">
        <f>'June 2025 YTD'!AP137</f>
        <v>0</v>
      </c>
      <c r="AU138" s="8">
        <f>'June 2025 YTD'!AQ137</f>
        <v>0</v>
      </c>
      <c r="AV138" s="8">
        <f>'June 2025 YTD'!AR137</f>
        <v>0</v>
      </c>
      <c r="AW138" s="364"/>
      <c r="AX138" s="8">
        <f t="shared" si="178"/>
        <v>0</v>
      </c>
      <c r="AY138" s="8">
        <f>('June 2024 YTD'!BI131*2)*1.03</f>
        <v>0</v>
      </c>
      <c r="AZ138" s="8">
        <f>('June 2024 YTD'!BJ131*2)*1.03</f>
        <v>0</v>
      </c>
      <c r="BA138" s="8">
        <f>('June 2024 YTD'!BK131*2)*1.03</f>
        <v>0</v>
      </c>
      <c r="BB138" s="8">
        <f>('June 2024 YTD'!BL131*2)*1.03</f>
        <v>0</v>
      </c>
      <c r="BC138" s="8">
        <f>('June 2024 YTD'!BM131*2)*1.03</f>
        <v>0</v>
      </c>
      <c r="BD138" s="8">
        <f>('June 2024 YTD'!BN131*2)*1.03</f>
        <v>0</v>
      </c>
      <c r="BE138" s="8">
        <f>('June 2024 YTD'!BO131*2)*1.03</f>
        <v>0</v>
      </c>
      <c r="BF138" s="8">
        <f>('June 2024 YTD'!BP131*2)*1.03</f>
        <v>0</v>
      </c>
      <c r="BG138" s="8">
        <f>('June 2024 YTD'!BQ131*2)*1.03</f>
        <v>0</v>
      </c>
      <c r="BH138" s="8">
        <f>('June 2024 YTD'!BR131*2)*1.03</f>
        <v>0</v>
      </c>
      <c r="BI138" s="8">
        <f>('June 2024 YTD'!BS131*2)*1.03</f>
        <v>0</v>
      </c>
      <c r="BJ138" s="8">
        <f>('June 2024 YTD'!BT131*2)*1.03</f>
        <v>0</v>
      </c>
      <c r="BK138" s="8">
        <f>('June 2024 YTD'!BU131*2)*1.03</f>
        <v>0</v>
      </c>
      <c r="BL138" s="8">
        <f>('June 2024 YTD'!BV131*2)*1.03</f>
        <v>0</v>
      </c>
      <c r="BM138" s="8">
        <f t="shared" si="238"/>
        <v>11319.98</v>
      </c>
      <c r="BN138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38" s="85" t="e">
        <f t="shared" si="225"/>
        <v>#REF!</v>
      </c>
      <c r="BS138" s="8" t="e">
        <f>SUM(B138:BL138)-#REF!-AV138-AP138-SUM(AY138:BL138)</f>
        <v>#REF!</v>
      </c>
      <c r="BT138" t="s">
        <v>208</v>
      </c>
    </row>
    <row r="139" spans="1:72">
      <c r="A139" s="7" t="s">
        <v>209</v>
      </c>
      <c r="B139" s="285">
        <v>117140</v>
      </c>
      <c r="C139" s="375">
        <f t="shared" si="239"/>
        <v>117140</v>
      </c>
      <c r="D139" s="375">
        <v>109670.39999999999</v>
      </c>
      <c r="E139" s="8">
        <v>0</v>
      </c>
      <c r="F139" s="8">
        <v>0</v>
      </c>
      <c r="G139" s="8">
        <f>'June 2025 YTD'!C138*2</f>
        <v>0</v>
      </c>
      <c r="H139" s="8">
        <f>'June 2025 YTD'!D138*2</f>
        <v>0</v>
      </c>
      <c r="I139" s="8">
        <f>'June 2025 YTD'!E138*2</f>
        <v>0</v>
      </c>
      <c r="J139" s="8">
        <f>'June 2025 YTD'!F138*2</f>
        <v>0</v>
      </c>
      <c r="K139" s="8">
        <f>'June 2025 YTD'!G138*2</f>
        <v>0</v>
      </c>
      <c r="L139" s="8">
        <f>'June 2025 YTD'!H138*2</f>
        <v>0</v>
      </c>
      <c r="M139" s="8">
        <f>'June 2025 YTD'!I138*2</f>
        <v>0</v>
      </c>
      <c r="N139" s="8">
        <f>'June 2025 YTD'!J138*2</f>
        <v>0</v>
      </c>
      <c r="O139" s="8">
        <f>'June 2025 YTD'!K138*2</f>
        <v>0</v>
      </c>
      <c r="P139" s="8">
        <f>'June 2025 YTD'!L138*2</f>
        <v>0</v>
      </c>
      <c r="Q139" s="8">
        <f>'June 2025 YTD'!M138*2</f>
        <v>0</v>
      </c>
      <c r="R139" s="8">
        <f>'June 2025 YTD'!N137*2*1.03</f>
        <v>0</v>
      </c>
      <c r="S139" s="8">
        <f>'June 2025 YTD'!O138*2</f>
        <v>0</v>
      </c>
      <c r="T139" s="8">
        <f>'June 2025 YTD'!P138*2</f>
        <v>0</v>
      </c>
      <c r="U139" s="8">
        <f>'June 2025 YTD'!Q138*2</f>
        <v>0</v>
      </c>
      <c r="V139" s="8">
        <f>'June 2025 YTD'!R138*2</f>
        <v>0</v>
      </c>
      <c r="W139" s="8">
        <f>'June 2025 YTD'!S138*2</f>
        <v>0</v>
      </c>
      <c r="X139" s="8">
        <f>'June 2025 YTD'!T138*2</f>
        <v>0</v>
      </c>
      <c r="Y139" s="8">
        <f>'June 2025 YTD'!U138*2</f>
        <v>0</v>
      </c>
      <c r="Z139" s="8">
        <f>'June 2025 YTD'!V138*2</f>
        <v>0</v>
      </c>
      <c r="AA139" s="8">
        <f>'June 2025 YTD'!W138*2</f>
        <v>0</v>
      </c>
      <c r="AB139" s="8">
        <f>'June 2025 YTD'!X138*2</f>
        <v>0</v>
      </c>
      <c r="AC139" s="8">
        <f>'June 2025 YTD'!Y138*2</f>
        <v>0</v>
      </c>
      <c r="AD139" s="8">
        <f>'June 2025 YTD'!Z138*2</f>
        <v>0</v>
      </c>
      <c r="AE139" s="8">
        <f>'June 2025 YTD'!AA138*2</f>
        <v>0</v>
      </c>
      <c r="AF139" s="8">
        <f>'June 2025 YTD'!AB138*2</f>
        <v>0</v>
      </c>
      <c r="AG139" s="8">
        <f>B139*60%</f>
        <v>70284</v>
      </c>
      <c r="AH139" s="8">
        <f>B139*40%</f>
        <v>46856</v>
      </c>
      <c r="AI139" s="8">
        <f>'June 2025 YTD'!AE138*2</f>
        <v>0</v>
      </c>
      <c r="AJ139" s="8">
        <f>'June 2025 YTD'!AF138*2</f>
        <v>0</v>
      </c>
      <c r="AK139" s="8">
        <f>'June 2025 YTD'!AG138*2</f>
        <v>0</v>
      </c>
      <c r="AL139" s="8">
        <f>'June 2025 YTD'!AH138*2</f>
        <v>0</v>
      </c>
      <c r="AM139" s="8">
        <f>'June 2025 YTD'!AI138*2</f>
        <v>0</v>
      </c>
      <c r="AN139" s="8">
        <f>'June 2025 YTD'!AJ138*2</f>
        <v>0</v>
      </c>
      <c r="AO139" s="8">
        <f>'June 2025 YTD'!AK138*2</f>
        <v>0</v>
      </c>
      <c r="AP139" s="8">
        <f>'June 2025 YTD'!AL138*2</f>
        <v>0</v>
      </c>
      <c r="AQ139" s="8">
        <f>'June 2025 YTD'!AM138*2</f>
        <v>0</v>
      </c>
      <c r="AR139" s="8">
        <f>'June 2025 YTD'!AN138*2</f>
        <v>0</v>
      </c>
      <c r="AS139" s="8">
        <f>'June 2025 YTD'!AO138*2</f>
        <v>0</v>
      </c>
      <c r="AT139" s="8">
        <f>'June 2025 YTD'!AP138*2</f>
        <v>0</v>
      </c>
      <c r="AU139" s="8">
        <f>'June 2025 YTD'!AQ138*2</f>
        <v>0</v>
      </c>
      <c r="AV139" s="8">
        <f>'June 2025 YTD'!AR138*2</f>
        <v>0</v>
      </c>
      <c r="AW139" s="364"/>
      <c r="AX139" s="8">
        <f t="shared" si="178"/>
        <v>0</v>
      </c>
      <c r="AY139" s="8">
        <f>('June 2024 YTD'!BI132*2)*1.03</f>
        <v>0</v>
      </c>
      <c r="AZ139" s="8">
        <f>('June 2024 YTD'!BJ132*2)*1.03</f>
        <v>0</v>
      </c>
      <c r="BA139" s="8">
        <f>('June 2024 YTD'!BK132*2)*1.03</f>
        <v>0</v>
      </c>
      <c r="BB139" s="8">
        <f>('June 2024 YTD'!BL132*2)*1.03</f>
        <v>0</v>
      </c>
      <c r="BC139" s="8">
        <f>('June 2024 YTD'!BM132*2)*1.03</f>
        <v>0</v>
      </c>
      <c r="BD139" s="8">
        <f>('June 2024 YTD'!BN132*2)*1.03</f>
        <v>0</v>
      </c>
      <c r="BE139" s="8">
        <f>('June 2024 YTD'!BO132*2)*1.03</f>
        <v>0</v>
      </c>
      <c r="BF139" s="8">
        <f>('June 2024 YTD'!BP132*2)*1.03</f>
        <v>0</v>
      </c>
      <c r="BG139" s="8">
        <f>('June 2024 YTD'!BQ132*2)*1.03</f>
        <v>0</v>
      </c>
      <c r="BH139" s="8">
        <f>('June 2024 YTD'!BR132*2)*1.03</f>
        <v>0</v>
      </c>
      <c r="BI139" s="8">
        <f>('June 2024 YTD'!BS132*2)*1.03</f>
        <v>0</v>
      </c>
      <c r="BJ139" s="8">
        <f>('June 2024 YTD'!BT132*2)*1.03</f>
        <v>0</v>
      </c>
      <c r="BK139" s="8">
        <f>('June 2024 YTD'!BU132*2)*1.03</f>
        <v>0</v>
      </c>
      <c r="BL139" s="8">
        <f>('June 2024 YTD'!BV132*2)*1.03</f>
        <v>0</v>
      </c>
      <c r="BM139" s="8">
        <f t="shared" si="238"/>
        <v>461090.4</v>
      </c>
      <c r="BN139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39" s="85" t="e">
        <f t="shared" si="225"/>
        <v>#REF!</v>
      </c>
      <c r="BS139" s="8" t="e">
        <f>SUM(B139:BL139)-#REF!-AV139-AP139-SUM(AY139:BL139)</f>
        <v>#REF!</v>
      </c>
      <c r="BT139" t="s">
        <v>209</v>
      </c>
    </row>
    <row r="140" spans="1:72">
      <c r="A140" s="7" t="s">
        <v>635</v>
      </c>
      <c r="B140" s="286">
        <v>65000</v>
      </c>
      <c r="C140" s="375">
        <f t="shared" si="239"/>
        <v>65000</v>
      </c>
      <c r="D140" s="375">
        <v>0</v>
      </c>
      <c r="E140" s="8">
        <v>65000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f>'June 2025 YTD'!N138*2*1.03</f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8">
        <v>0</v>
      </c>
      <c r="AC140" s="8">
        <v>0</v>
      </c>
      <c r="AD140" s="8">
        <v>0</v>
      </c>
      <c r="AE140" s="8">
        <v>0</v>
      </c>
      <c r="AF140" s="8">
        <v>0</v>
      </c>
      <c r="AG140" s="8">
        <v>0</v>
      </c>
      <c r="AH140" s="8">
        <v>0</v>
      </c>
      <c r="AI140" s="8">
        <v>0</v>
      </c>
      <c r="AJ140" s="8">
        <v>0</v>
      </c>
      <c r="AK140" s="8">
        <v>0</v>
      </c>
      <c r="AL140" s="8">
        <v>0</v>
      </c>
      <c r="AM140" s="8">
        <v>0</v>
      </c>
      <c r="AN140" s="8">
        <v>0</v>
      </c>
      <c r="AO140" s="8">
        <v>0</v>
      </c>
      <c r="AP140" s="8">
        <v>0</v>
      </c>
      <c r="AQ140" s="8">
        <v>0</v>
      </c>
      <c r="AR140" s="8">
        <v>0</v>
      </c>
      <c r="AS140" s="8">
        <v>0</v>
      </c>
      <c r="AT140" s="8">
        <v>0</v>
      </c>
      <c r="AU140" s="8">
        <v>0</v>
      </c>
      <c r="AV140" s="8">
        <v>0</v>
      </c>
      <c r="AW140" s="364"/>
      <c r="AX140" s="8">
        <f t="shared" si="178"/>
        <v>0</v>
      </c>
      <c r="AY140" s="8">
        <v>0</v>
      </c>
      <c r="AZ140" s="8">
        <v>0</v>
      </c>
      <c r="BA140" s="8">
        <v>0</v>
      </c>
      <c r="BB140" s="8">
        <v>0</v>
      </c>
      <c r="BC140" s="8">
        <v>0</v>
      </c>
      <c r="BD140" s="8">
        <v>0</v>
      </c>
      <c r="BE140" s="8">
        <v>0</v>
      </c>
      <c r="BF140" s="8">
        <v>0</v>
      </c>
      <c r="BG140" s="8">
        <v>0</v>
      </c>
      <c r="BH140" s="8">
        <v>0</v>
      </c>
      <c r="BI140" s="8">
        <v>0</v>
      </c>
      <c r="BJ140" s="8">
        <v>0</v>
      </c>
      <c r="BK140" s="8">
        <v>0</v>
      </c>
      <c r="BL140" s="8">
        <v>0</v>
      </c>
      <c r="BM140" s="8">
        <f t="shared" si="238"/>
        <v>195000</v>
      </c>
      <c r="BN140" s="8">
        <v>0</v>
      </c>
      <c r="BO140" s="8">
        <v>0</v>
      </c>
      <c r="BS140" s="8"/>
    </row>
    <row r="141" spans="1:72">
      <c r="A141" s="7" t="s">
        <v>636</v>
      </c>
      <c r="B141" s="286">
        <v>155000</v>
      </c>
      <c r="C141" s="375">
        <f t="shared" si="239"/>
        <v>155000</v>
      </c>
      <c r="D141" s="375">
        <v>0</v>
      </c>
      <c r="E141" s="8">
        <v>155000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8">
        <v>0</v>
      </c>
      <c r="AB141" s="8">
        <v>0</v>
      </c>
      <c r="AC141" s="8">
        <v>0</v>
      </c>
      <c r="AD141" s="8">
        <v>0</v>
      </c>
      <c r="AE141" s="8">
        <v>0</v>
      </c>
      <c r="AF141" s="8">
        <v>0</v>
      </c>
      <c r="AG141" s="8">
        <v>0</v>
      </c>
      <c r="AH141" s="8">
        <v>0</v>
      </c>
      <c r="AI141" s="8">
        <v>0</v>
      </c>
      <c r="AJ141" s="8">
        <v>0</v>
      </c>
      <c r="AK141" s="8">
        <v>0</v>
      </c>
      <c r="AL141" s="8">
        <v>0</v>
      </c>
      <c r="AM141" s="8">
        <v>0</v>
      </c>
      <c r="AN141" s="8">
        <v>0</v>
      </c>
      <c r="AO141" s="8">
        <v>0</v>
      </c>
      <c r="AP141" s="8">
        <v>0</v>
      </c>
      <c r="AQ141" s="8">
        <v>0</v>
      </c>
      <c r="AR141" s="8">
        <v>0</v>
      </c>
      <c r="AS141" s="8">
        <v>0</v>
      </c>
      <c r="AT141" s="8">
        <v>0</v>
      </c>
      <c r="AU141" s="8">
        <v>0</v>
      </c>
      <c r="AV141" s="8">
        <v>0</v>
      </c>
      <c r="AW141" s="364"/>
      <c r="AX141" s="8">
        <f t="shared" si="178"/>
        <v>0</v>
      </c>
      <c r="AY141" s="8">
        <v>0</v>
      </c>
      <c r="AZ141" s="8">
        <v>0</v>
      </c>
      <c r="BA141" s="8">
        <v>0</v>
      </c>
      <c r="BB141" s="8">
        <v>0</v>
      </c>
      <c r="BC141" s="8">
        <v>0</v>
      </c>
      <c r="BD141" s="8">
        <v>0</v>
      </c>
      <c r="BE141" s="8">
        <v>0</v>
      </c>
      <c r="BF141" s="8">
        <v>0</v>
      </c>
      <c r="BG141" s="8">
        <v>0</v>
      </c>
      <c r="BH141" s="8">
        <v>0</v>
      </c>
      <c r="BI141" s="8">
        <v>0</v>
      </c>
      <c r="BJ141" s="8">
        <v>0</v>
      </c>
      <c r="BK141" s="8">
        <v>0</v>
      </c>
      <c r="BL141" s="8">
        <v>0</v>
      </c>
      <c r="BM141" s="8">
        <f t="shared" si="238"/>
        <v>465000</v>
      </c>
      <c r="BN141" s="8">
        <v>0</v>
      </c>
      <c r="BO141" s="8">
        <v>0</v>
      </c>
      <c r="BS141" s="8"/>
    </row>
    <row r="142" spans="1:72">
      <c r="A142" s="7" t="s">
        <v>637</v>
      </c>
      <c r="B142" s="286">
        <v>60000</v>
      </c>
      <c r="C142" s="375">
        <f t="shared" si="239"/>
        <v>60000</v>
      </c>
      <c r="D142" s="375">
        <v>0</v>
      </c>
      <c r="E142" s="8">
        <v>60000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f>'June 2025 YTD'!N140*2*1.03</f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8">
        <v>0</v>
      </c>
      <c r="AC142" s="8">
        <v>0</v>
      </c>
      <c r="AD142" s="8">
        <v>0</v>
      </c>
      <c r="AE142" s="8">
        <v>0</v>
      </c>
      <c r="AF142" s="8">
        <v>0</v>
      </c>
      <c r="AG142" s="8">
        <v>0</v>
      </c>
      <c r="AH142" s="8">
        <v>0</v>
      </c>
      <c r="AI142" s="8">
        <v>0</v>
      </c>
      <c r="AJ142" s="8">
        <v>0</v>
      </c>
      <c r="AK142" s="8">
        <v>0</v>
      </c>
      <c r="AL142" s="8">
        <v>0</v>
      </c>
      <c r="AM142" s="8">
        <v>0</v>
      </c>
      <c r="AN142" s="8">
        <v>0</v>
      </c>
      <c r="AO142" s="8">
        <v>0</v>
      </c>
      <c r="AP142" s="8">
        <v>0</v>
      </c>
      <c r="AQ142" s="8">
        <v>0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364"/>
      <c r="AX142" s="8">
        <f t="shared" si="178"/>
        <v>0</v>
      </c>
      <c r="AY142" s="8">
        <v>0</v>
      </c>
      <c r="AZ142" s="8">
        <v>0</v>
      </c>
      <c r="BA142" s="8">
        <v>0</v>
      </c>
      <c r="BB142" s="8">
        <v>0</v>
      </c>
      <c r="BC142" s="8">
        <v>0</v>
      </c>
      <c r="BD142" s="8">
        <v>0</v>
      </c>
      <c r="BE142" s="8">
        <v>0</v>
      </c>
      <c r="BF142" s="8">
        <v>0</v>
      </c>
      <c r="BG142" s="8">
        <v>0</v>
      </c>
      <c r="BH142" s="8">
        <v>0</v>
      </c>
      <c r="BI142" s="8">
        <v>0</v>
      </c>
      <c r="BJ142" s="8">
        <v>0</v>
      </c>
      <c r="BK142" s="8">
        <v>0</v>
      </c>
      <c r="BL142" s="8">
        <v>0</v>
      </c>
      <c r="BM142" s="8">
        <f t="shared" si="238"/>
        <v>180000</v>
      </c>
      <c r="BN142" s="8">
        <v>0</v>
      </c>
      <c r="BO142" s="8">
        <v>0</v>
      </c>
      <c r="BS142" s="8"/>
    </row>
    <row r="143" spans="1:72">
      <c r="A143" s="7" t="s">
        <v>638</v>
      </c>
      <c r="B143" s="286">
        <v>31000</v>
      </c>
      <c r="C143" s="375">
        <f t="shared" si="239"/>
        <v>31000</v>
      </c>
      <c r="D143" s="375">
        <v>0</v>
      </c>
      <c r="E143" s="8">
        <v>31000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8">
        <v>0</v>
      </c>
      <c r="AC143" s="8">
        <v>0</v>
      </c>
      <c r="AD143" s="8">
        <v>0</v>
      </c>
      <c r="AE143" s="8">
        <v>0</v>
      </c>
      <c r="AF143" s="8">
        <v>0</v>
      </c>
      <c r="AG143" s="8">
        <v>0</v>
      </c>
      <c r="AH143" s="8">
        <v>0</v>
      </c>
      <c r="AI143" s="8">
        <v>0</v>
      </c>
      <c r="AJ143" s="8">
        <v>0</v>
      </c>
      <c r="AK143" s="8">
        <v>0</v>
      </c>
      <c r="AL143" s="8">
        <v>0</v>
      </c>
      <c r="AM143" s="8">
        <v>0</v>
      </c>
      <c r="AN143" s="8">
        <v>0</v>
      </c>
      <c r="AO143" s="8">
        <v>0</v>
      </c>
      <c r="AP143" s="8">
        <v>0</v>
      </c>
      <c r="AQ143" s="8">
        <v>0</v>
      </c>
      <c r="AR143" s="8">
        <v>0</v>
      </c>
      <c r="AS143" s="8">
        <v>0</v>
      </c>
      <c r="AT143" s="8">
        <v>0</v>
      </c>
      <c r="AU143" s="8">
        <v>0</v>
      </c>
      <c r="AV143" s="8">
        <v>0</v>
      </c>
      <c r="AW143" s="364"/>
      <c r="AX143" s="8">
        <f t="shared" si="178"/>
        <v>0</v>
      </c>
      <c r="AY143" s="8">
        <v>0</v>
      </c>
      <c r="AZ143" s="8">
        <v>0</v>
      </c>
      <c r="BA143" s="8">
        <v>0</v>
      </c>
      <c r="BB143" s="8">
        <v>0</v>
      </c>
      <c r="BC143" s="8">
        <v>0</v>
      </c>
      <c r="BD143" s="8">
        <v>0</v>
      </c>
      <c r="BE143" s="8">
        <v>0</v>
      </c>
      <c r="BF143" s="8">
        <v>0</v>
      </c>
      <c r="BG143" s="8">
        <v>0</v>
      </c>
      <c r="BH143" s="8">
        <v>0</v>
      </c>
      <c r="BI143" s="8">
        <v>0</v>
      </c>
      <c r="BJ143" s="8">
        <v>0</v>
      </c>
      <c r="BK143" s="8">
        <v>0</v>
      </c>
      <c r="BL143" s="8">
        <v>0</v>
      </c>
      <c r="BM143" s="8">
        <f t="shared" si="238"/>
        <v>93000</v>
      </c>
      <c r="BN143" s="8">
        <v>0</v>
      </c>
      <c r="BO143" s="8">
        <v>0</v>
      </c>
      <c r="BS143" s="8"/>
    </row>
    <row r="144" spans="1:72">
      <c r="A144" s="7" t="s">
        <v>639</v>
      </c>
      <c r="B144" s="286">
        <v>144984</v>
      </c>
      <c r="C144" s="375">
        <f t="shared" si="239"/>
        <v>144984</v>
      </c>
      <c r="D144" s="375">
        <v>0</v>
      </c>
      <c r="E144" s="8">
        <v>144984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f>'June 2025 YTD'!N142*2*1.03</f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8">
        <v>0</v>
      </c>
      <c r="AC144" s="8">
        <v>0</v>
      </c>
      <c r="AD144" s="8">
        <v>0</v>
      </c>
      <c r="AE144" s="8">
        <v>0</v>
      </c>
      <c r="AF144" s="8">
        <v>0</v>
      </c>
      <c r="AG144" s="8">
        <v>0</v>
      </c>
      <c r="AH144" s="8">
        <v>0</v>
      </c>
      <c r="AI144" s="8">
        <v>0</v>
      </c>
      <c r="AJ144" s="8">
        <v>0</v>
      </c>
      <c r="AK144" s="8">
        <v>0</v>
      </c>
      <c r="AL144" s="8">
        <v>0</v>
      </c>
      <c r="AM144" s="8">
        <v>0</v>
      </c>
      <c r="AN144" s="8">
        <v>0</v>
      </c>
      <c r="AO144" s="8">
        <v>0</v>
      </c>
      <c r="AP144" s="8">
        <v>0</v>
      </c>
      <c r="AQ144" s="8">
        <v>0</v>
      </c>
      <c r="AR144" s="8">
        <v>0</v>
      </c>
      <c r="AS144" s="8">
        <v>0</v>
      </c>
      <c r="AT144" s="8">
        <v>0</v>
      </c>
      <c r="AU144" s="8">
        <v>0</v>
      </c>
      <c r="AV144" s="8">
        <v>0</v>
      </c>
      <c r="AW144" s="364"/>
      <c r="AX144" s="8">
        <f t="shared" si="178"/>
        <v>0</v>
      </c>
      <c r="AY144" s="8">
        <v>0</v>
      </c>
      <c r="AZ144" s="8">
        <v>0</v>
      </c>
      <c r="BA144" s="8">
        <v>0</v>
      </c>
      <c r="BB144" s="8">
        <v>0</v>
      </c>
      <c r="BC144" s="8">
        <v>0</v>
      </c>
      <c r="BD144" s="8">
        <v>0</v>
      </c>
      <c r="BE144" s="8">
        <v>0</v>
      </c>
      <c r="BF144" s="8">
        <v>0</v>
      </c>
      <c r="BG144" s="8">
        <v>0</v>
      </c>
      <c r="BH144" s="8">
        <v>0</v>
      </c>
      <c r="BI144" s="8">
        <v>0</v>
      </c>
      <c r="BJ144" s="8">
        <v>0</v>
      </c>
      <c r="BK144" s="8">
        <v>0</v>
      </c>
      <c r="BL144" s="8">
        <v>0</v>
      </c>
      <c r="BM144" s="8">
        <f t="shared" si="238"/>
        <v>434952</v>
      </c>
      <c r="BN144" s="8">
        <v>0</v>
      </c>
      <c r="BO144" s="8">
        <v>0</v>
      </c>
      <c r="BS144" s="8"/>
    </row>
    <row r="145" spans="1:74" hidden="1">
      <c r="A145" s="7" t="s">
        <v>640</v>
      </c>
      <c r="B145" s="274">
        <v>0</v>
      </c>
      <c r="C145" s="381"/>
      <c r="D145" s="381"/>
      <c r="E145" s="8">
        <v>0</v>
      </c>
      <c r="F145" s="8"/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f>'June 2025 YTD'!N143*2*1.03</f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D145" s="8">
        <v>0</v>
      </c>
      <c r="AE145" s="8">
        <v>0</v>
      </c>
      <c r="AF145" s="8">
        <v>0</v>
      </c>
      <c r="AG145" s="8">
        <v>0</v>
      </c>
      <c r="AH145" s="8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0</v>
      </c>
      <c r="AT145" s="8">
        <v>0</v>
      </c>
      <c r="AU145" s="8">
        <v>0</v>
      </c>
      <c r="AV145" s="8">
        <v>0</v>
      </c>
      <c r="AW145" s="364"/>
      <c r="AX145" s="8">
        <f t="shared" si="178"/>
        <v>0</v>
      </c>
      <c r="AY145" s="8">
        <v>0</v>
      </c>
      <c r="AZ145" s="8">
        <v>0</v>
      </c>
      <c r="BA145" s="8">
        <v>0</v>
      </c>
      <c r="BB145" s="8">
        <v>0</v>
      </c>
      <c r="BC145" s="8">
        <v>0</v>
      </c>
      <c r="BD145" s="8">
        <v>0</v>
      </c>
      <c r="BE145" s="8">
        <v>0</v>
      </c>
      <c r="BF145" s="8">
        <v>0</v>
      </c>
      <c r="BG145" s="8">
        <v>0</v>
      </c>
      <c r="BH145" s="8">
        <v>0</v>
      </c>
      <c r="BI145" s="8">
        <v>0</v>
      </c>
      <c r="BJ145" s="8">
        <v>0</v>
      </c>
      <c r="BK145" s="8">
        <v>0</v>
      </c>
      <c r="BL145" s="8">
        <v>0</v>
      </c>
      <c r="BM145" s="8">
        <f t="shared" si="238"/>
        <v>0</v>
      </c>
      <c r="BN145" s="8">
        <v>0</v>
      </c>
      <c r="BO145" s="8">
        <v>0</v>
      </c>
      <c r="BS145" s="8"/>
    </row>
    <row r="146" spans="1:74">
      <c r="A146" s="9" t="s">
        <v>210</v>
      </c>
      <c r="B146" s="287">
        <f>SUM(B133:B145)</f>
        <v>897674.90999999992</v>
      </c>
      <c r="C146" s="377">
        <f>SUM(C133:C145)</f>
        <v>997673.99286666664</v>
      </c>
      <c r="D146" s="378">
        <f>SUM(D133:D145)</f>
        <v>1089796.25</v>
      </c>
      <c r="E146" s="10">
        <f>SUM(E133:E145)</f>
        <v>455984</v>
      </c>
      <c r="F146" s="10">
        <f>SUM(F133:F145)</f>
        <v>0</v>
      </c>
      <c r="G146" s="10">
        <f t="shared" ref="G146:AV146" si="240">SUM(G133:G139)</f>
        <v>0</v>
      </c>
      <c r="H146" s="10">
        <f t="shared" si="240"/>
        <v>0</v>
      </c>
      <c r="I146" s="10">
        <f t="shared" si="240"/>
        <v>0</v>
      </c>
      <c r="J146" s="10">
        <f t="shared" si="240"/>
        <v>0</v>
      </c>
      <c r="K146" s="10">
        <f t="shared" si="240"/>
        <v>0</v>
      </c>
      <c r="L146" s="10">
        <f t="shared" si="240"/>
        <v>0</v>
      </c>
      <c r="M146" s="10">
        <f t="shared" si="240"/>
        <v>0</v>
      </c>
      <c r="N146" s="10">
        <f t="shared" si="240"/>
        <v>0</v>
      </c>
      <c r="O146" s="10">
        <f t="shared" si="240"/>
        <v>0</v>
      </c>
      <c r="P146" s="10">
        <f t="shared" si="240"/>
        <v>0</v>
      </c>
      <c r="Q146" s="10">
        <f t="shared" si="240"/>
        <v>0</v>
      </c>
      <c r="R146" s="10">
        <f t="shared" si="240"/>
        <v>5273.8562000000002</v>
      </c>
      <c r="S146" s="10">
        <f t="shared" si="240"/>
        <v>0</v>
      </c>
      <c r="T146" s="10">
        <f t="shared" si="240"/>
        <v>0</v>
      </c>
      <c r="U146" s="10">
        <f t="shared" si="240"/>
        <v>0</v>
      </c>
      <c r="V146" s="10">
        <f t="shared" si="240"/>
        <v>0</v>
      </c>
      <c r="W146" s="10">
        <f t="shared" si="240"/>
        <v>0</v>
      </c>
      <c r="X146" s="10">
        <f t="shared" si="240"/>
        <v>0</v>
      </c>
      <c r="Y146" s="10">
        <f t="shared" si="240"/>
        <v>0</v>
      </c>
      <c r="Z146" s="10">
        <f t="shared" si="240"/>
        <v>0</v>
      </c>
      <c r="AA146" s="10">
        <f t="shared" si="240"/>
        <v>0</v>
      </c>
      <c r="AB146" s="10">
        <f t="shared" si="240"/>
        <v>0</v>
      </c>
      <c r="AC146" s="10">
        <f t="shared" si="240"/>
        <v>0</v>
      </c>
      <c r="AD146" s="10">
        <f t="shared" si="240"/>
        <v>0</v>
      </c>
      <c r="AE146" s="10">
        <f t="shared" si="240"/>
        <v>0</v>
      </c>
      <c r="AF146" s="10">
        <f t="shared" si="240"/>
        <v>0</v>
      </c>
      <c r="AG146" s="10">
        <f t="shared" si="240"/>
        <v>72504</v>
      </c>
      <c r="AH146" s="10">
        <f t="shared" si="240"/>
        <v>48336</v>
      </c>
      <c r="AI146" s="10">
        <f t="shared" si="240"/>
        <v>0</v>
      </c>
      <c r="AJ146" s="10">
        <f t="shared" si="240"/>
        <v>0</v>
      </c>
      <c r="AK146" s="10">
        <f t="shared" si="240"/>
        <v>0</v>
      </c>
      <c r="AL146" s="10">
        <f t="shared" si="240"/>
        <v>0</v>
      </c>
      <c r="AM146" s="10">
        <f t="shared" si="240"/>
        <v>0</v>
      </c>
      <c r="AN146" s="10">
        <f t="shared" si="240"/>
        <v>2038.06</v>
      </c>
      <c r="AO146" s="10">
        <f t="shared" si="240"/>
        <v>10000</v>
      </c>
      <c r="AP146" s="10">
        <f t="shared" si="240"/>
        <v>76523.266666666663</v>
      </c>
      <c r="AQ146" s="10">
        <f t="shared" si="240"/>
        <v>0</v>
      </c>
      <c r="AR146" s="10">
        <f t="shared" si="240"/>
        <v>160729.53</v>
      </c>
      <c r="AS146" s="10">
        <f t="shared" si="240"/>
        <v>64785.279999999999</v>
      </c>
      <c r="AT146" s="10">
        <f t="shared" si="240"/>
        <v>0</v>
      </c>
      <c r="AU146" s="10">
        <f t="shared" si="240"/>
        <v>1500</v>
      </c>
      <c r="AV146" s="10">
        <f t="shared" si="240"/>
        <v>100000</v>
      </c>
      <c r="AW146" s="366"/>
      <c r="AX146" s="4">
        <f t="shared" si="178"/>
        <v>0</v>
      </c>
      <c r="AY146" s="10">
        <f t="shared" ref="AY146:BL146" si="241">SUM(AY133:AY139)</f>
        <v>0</v>
      </c>
      <c r="AZ146" s="10">
        <f t="shared" si="241"/>
        <v>0</v>
      </c>
      <c r="BA146" s="10">
        <f t="shared" si="241"/>
        <v>0</v>
      </c>
      <c r="BB146" s="10">
        <f t="shared" si="241"/>
        <v>0</v>
      </c>
      <c r="BC146" s="10">
        <f t="shared" si="241"/>
        <v>0</v>
      </c>
      <c r="BD146" s="10">
        <f t="shared" si="241"/>
        <v>0</v>
      </c>
      <c r="BE146" s="10">
        <f t="shared" si="241"/>
        <v>0</v>
      </c>
      <c r="BF146" s="10">
        <f t="shared" si="241"/>
        <v>0</v>
      </c>
      <c r="BG146" s="10">
        <f t="shared" si="241"/>
        <v>0</v>
      </c>
      <c r="BH146" s="10">
        <f t="shared" si="241"/>
        <v>0</v>
      </c>
      <c r="BI146" s="10">
        <f t="shared" si="241"/>
        <v>0</v>
      </c>
      <c r="BJ146" s="10">
        <f t="shared" si="241"/>
        <v>0</v>
      </c>
      <c r="BK146" s="10">
        <f t="shared" si="241"/>
        <v>0</v>
      </c>
      <c r="BL146" s="10">
        <f t="shared" si="241"/>
        <v>0</v>
      </c>
      <c r="BM146" s="10">
        <f>SUM(BM133:BM145)</f>
        <v>3982819.1457333332</v>
      </c>
      <c r="BN146" s="10" t="e">
        <f>SUM(BN133:BN139)</f>
        <v>#REF!</v>
      </c>
      <c r="BO146" s="85" t="e">
        <f>BM146-BN146</f>
        <v>#REF!</v>
      </c>
      <c r="BS146" s="10" t="e">
        <f>SUM(BS133:BS139)</f>
        <v>#REF!</v>
      </c>
      <c r="BT146" t="s">
        <v>210</v>
      </c>
    </row>
    <row r="147" spans="1:74">
      <c r="A147" s="187" t="s">
        <v>641</v>
      </c>
      <c r="B147" s="285">
        <v>25081.3</v>
      </c>
      <c r="C147" s="375">
        <f>SUM(E147:AV147)</f>
        <v>25081.3</v>
      </c>
      <c r="D147" s="375">
        <v>0</v>
      </c>
      <c r="E147" s="4">
        <v>0</v>
      </c>
      <c r="F147" s="4">
        <v>0</v>
      </c>
      <c r="G147" s="8">
        <f>'June 2025 YTD'!C140*2</f>
        <v>0</v>
      </c>
      <c r="H147" s="8">
        <f>'June 2025 YTD'!D140*2</f>
        <v>0</v>
      </c>
      <c r="I147" s="8">
        <f>'June 2025 YTD'!E140*2</f>
        <v>0</v>
      </c>
      <c r="J147" s="8">
        <f>'June 2025 YTD'!F140*2</f>
        <v>0</v>
      </c>
      <c r="K147" s="8">
        <f>'June 2025 YTD'!G140*2</f>
        <v>0</v>
      </c>
      <c r="L147" s="8">
        <f>'June 2025 YTD'!H140*2</f>
        <v>0</v>
      </c>
      <c r="M147" s="8">
        <f>'June 2025 YTD'!I140*2</f>
        <v>0</v>
      </c>
      <c r="N147" s="8">
        <f>'June 2025 YTD'!J140*2</f>
        <v>0</v>
      </c>
      <c r="O147" s="8">
        <f>'June 2025 YTD'!K140*2</f>
        <v>0</v>
      </c>
      <c r="P147" s="8">
        <f>'June 2025 YTD'!L140*2</f>
        <v>0</v>
      </c>
      <c r="Q147" s="8">
        <f>'June 2025 YTD'!M140*2</f>
        <v>0</v>
      </c>
      <c r="R147" s="8">
        <f>'June 2025 YTD'!N140*2</f>
        <v>0</v>
      </c>
      <c r="S147" s="8">
        <f>'June 2025 YTD'!O140*2</f>
        <v>0</v>
      </c>
      <c r="T147" s="8">
        <f>'June 2025 YTD'!P140*2</f>
        <v>0</v>
      </c>
      <c r="U147" s="8">
        <f>'June 2025 YTD'!Q140*2</f>
        <v>0</v>
      </c>
      <c r="V147" s="8">
        <f>'June 2025 YTD'!R140*2</f>
        <v>0</v>
      </c>
      <c r="W147" s="8">
        <f>'June 2025 YTD'!S140*2</f>
        <v>0</v>
      </c>
      <c r="X147" s="8">
        <f>'June 2025 YTD'!T140*2</f>
        <v>0</v>
      </c>
      <c r="Y147" s="8">
        <f>'June 2025 YTD'!U140*2</f>
        <v>0</v>
      </c>
      <c r="Z147" s="8">
        <f>'June 2025 YTD'!V140*2</f>
        <v>0</v>
      </c>
      <c r="AA147" s="8">
        <f>'June 2025 YTD'!W140*2</f>
        <v>0</v>
      </c>
      <c r="AB147" s="8">
        <f>'June 2025 YTD'!X140*2</f>
        <v>0</v>
      </c>
      <c r="AC147" s="8">
        <f>'June 2025 YTD'!Y140*2</f>
        <v>0</v>
      </c>
      <c r="AD147" s="8">
        <f>'June 2025 YTD'!Z140*2</f>
        <v>0</v>
      </c>
      <c r="AE147" s="8">
        <f>'June 2025 YTD'!AA140*2</f>
        <v>0</v>
      </c>
      <c r="AF147" s="8">
        <f>'June 2025 YTD'!AB140*2</f>
        <v>0</v>
      </c>
      <c r="AG147" s="8">
        <f>'June 2025 YTD'!AA140*2</f>
        <v>0</v>
      </c>
      <c r="AH147" s="8">
        <f>'June 2025 YTD'!AB140*2</f>
        <v>0</v>
      </c>
      <c r="AI147" s="8">
        <f>'June 2025 YTD'!AC140*2</f>
        <v>0</v>
      </c>
      <c r="AJ147" s="8">
        <f>'June 2025 YTD'!AD140*2</f>
        <v>0</v>
      </c>
      <c r="AK147" s="8">
        <f>'June 2025 YTD'!AE140*2</f>
        <v>0</v>
      </c>
      <c r="AL147" s="8">
        <f>'June 2025 YTD'!AF140*2</f>
        <v>0</v>
      </c>
      <c r="AM147" s="8">
        <f>'June 2025 YTD'!AG140*2</f>
        <v>0</v>
      </c>
      <c r="AN147" s="8">
        <f>'June 2025 YTD'!AH140*2</f>
        <v>0</v>
      </c>
      <c r="AO147" s="8">
        <f>'June 2025 YTD'!AI140*2</f>
        <v>0</v>
      </c>
      <c r="AP147" s="8">
        <f>'June 2025 YTD'!AJ140*2</f>
        <v>0</v>
      </c>
      <c r="AQ147" s="8">
        <f>'June 2025 YTD'!AK140*2</f>
        <v>0</v>
      </c>
      <c r="AR147" s="8">
        <f>'June 2025 YTD'!AL140*2</f>
        <v>0</v>
      </c>
      <c r="AS147" s="8">
        <f>'June 2025 YTD'!AM140*2</f>
        <v>0</v>
      </c>
      <c r="AT147" s="8">
        <f>'June 2025 YTD'!AN140*2</f>
        <v>0</v>
      </c>
      <c r="AU147" s="8">
        <f>'June 2025 YTD'!AQ140*2+20000</f>
        <v>25081.3</v>
      </c>
      <c r="AV147" s="8">
        <f>'June 2025 YTD'!AR140*2</f>
        <v>0</v>
      </c>
      <c r="AW147" s="366"/>
      <c r="AX147" s="8">
        <v>0</v>
      </c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8">
        <f>SUM(B147:BL147)</f>
        <v>75243.899999999994</v>
      </c>
      <c r="BN147" s="4"/>
      <c r="BO147" s="85"/>
      <c r="BS147" s="4"/>
    </row>
    <row r="148" spans="1:74">
      <c r="A148" s="11" t="s">
        <v>211</v>
      </c>
      <c r="B148" s="285">
        <v>4100</v>
      </c>
      <c r="C148" s="375">
        <f t="shared" ref="C148:C151" si="242">SUM(E148:AV148)</f>
        <v>4110</v>
      </c>
      <c r="D148" s="375">
        <v>3162.88</v>
      </c>
      <c r="E148" s="8">
        <v>0</v>
      </c>
      <c r="F148" s="8">
        <v>0</v>
      </c>
      <c r="G148" s="8">
        <v>896</v>
      </c>
      <c r="H148" s="8">
        <f>'June 2025 YTD'!D141*2</f>
        <v>0</v>
      </c>
      <c r="I148" s="8">
        <f>'June 2025 YTD'!E141*2</f>
        <v>0</v>
      </c>
      <c r="J148" s="8">
        <f>'June 2025 YTD'!F141*2</f>
        <v>0</v>
      </c>
      <c r="K148" s="8">
        <f>600+500</f>
        <v>1100</v>
      </c>
      <c r="L148" s="8">
        <f>'June 2025 YTD'!H141*2</f>
        <v>0</v>
      </c>
      <c r="M148" s="8">
        <f>'June 2025 YTD'!I141*2</f>
        <v>0</v>
      </c>
      <c r="N148" s="8">
        <f>'June 2025 YTD'!J141*2</f>
        <v>0</v>
      </c>
      <c r="O148" s="8">
        <f>'June 2025 YTD'!K141*2</f>
        <v>0</v>
      </c>
      <c r="P148" s="8">
        <f>'June 2025 YTD'!L141*2</f>
        <v>0</v>
      </c>
      <c r="Q148" s="8">
        <f>'June 2025 YTD'!M141*2</f>
        <v>0</v>
      </c>
      <c r="R148" s="8">
        <v>1025</v>
      </c>
      <c r="S148" s="8">
        <f>'June 2025 YTD'!O141*2</f>
        <v>0</v>
      </c>
      <c r="T148" s="8">
        <f>'June 2025 YTD'!P141*2</f>
        <v>0</v>
      </c>
      <c r="U148" s="8">
        <f>'June 2025 YTD'!Q141*2</f>
        <v>0</v>
      </c>
      <c r="V148" s="8">
        <f>'June 2025 YTD'!R141*2</f>
        <v>0</v>
      </c>
      <c r="W148" s="8">
        <f>'June 2025 YTD'!S141*2</f>
        <v>0</v>
      </c>
      <c r="X148" s="8">
        <f>'June 2025 YTD'!T141*2</f>
        <v>0</v>
      </c>
      <c r="Y148" s="8">
        <f>'June 2025 YTD'!U141*2</f>
        <v>0</v>
      </c>
      <c r="Z148" s="8">
        <f>'June 2025 YTD'!V141*2</f>
        <v>0</v>
      </c>
      <c r="AA148" s="8">
        <f>'June 2025 YTD'!W141*2</f>
        <v>0</v>
      </c>
      <c r="AB148" s="8">
        <f>'June 2025 YTD'!X141*2</f>
        <v>0</v>
      </c>
      <c r="AC148" s="8">
        <f>'June 2025 YTD'!Y141*2</f>
        <v>0</v>
      </c>
      <c r="AD148" s="8">
        <f>'June 2025 YTD'!Z141*2</f>
        <v>0</v>
      </c>
      <c r="AE148" s="8">
        <f>'June 2025 YTD'!AA141*2</f>
        <v>0</v>
      </c>
      <c r="AF148" s="8">
        <f>'June 2025 YTD'!AB141*2</f>
        <v>0</v>
      </c>
      <c r="AG148" s="8">
        <f>'June 2025 YTD'!AA141*2</f>
        <v>0</v>
      </c>
      <c r="AH148" s="8">
        <f>'June 2025 YTD'!AB141*2</f>
        <v>0</v>
      </c>
      <c r="AI148" s="8">
        <f>'June 2025 YTD'!AC141*2</f>
        <v>0</v>
      </c>
      <c r="AJ148" s="8">
        <f>'June 2025 YTD'!AD141*2</f>
        <v>0</v>
      </c>
      <c r="AK148" s="8">
        <f>'June 2025 YTD'!AE141*2</f>
        <v>0</v>
      </c>
      <c r="AL148" s="8">
        <f>'June 2025 YTD'!AF141*2</f>
        <v>0</v>
      </c>
      <c r="AM148" s="8">
        <f>'June 2025 YTD'!AG141*2</f>
        <v>0</v>
      </c>
      <c r="AN148" s="8">
        <f>'June 2025 YTD'!AH141*2</f>
        <v>0</v>
      </c>
      <c r="AO148" s="8">
        <f>'June 2025 YTD'!AI141*2</f>
        <v>0</v>
      </c>
      <c r="AP148" s="8">
        <f>'June 2025 YTD'!AJ141*2</f>
        <v>0</v>
      </c>
      <c r="AQ148" s="8">
        <f>'June 2025 YTD'!AK141*2</f>
        <v>0</v>
      </c>
      <c r="AR148" s="8">
        <f>'June 2025 YTD'!AL141*2</f>
        <v>0</v>
      </c>
      <c r="AS148" s="8">
        <f>'June 2025 YTD'!AM141*2</f>
        <v>0</v>
      </c>
      <c r="AT148" s="8">
        <f>'June 2025 YTD'!AN141*2</f>
        <v>0</v>
      </c>
      <c r="AU148" s="8">
        <v>312</v>
      </c>
      <c r="AV148" s="8">
        <v>777</v>
      </c>
      <c r="AW148" s="364"/>
      <c r="AX148" s="8">
        <f t="shared" si="178"/>
        <v>0</v>
      </c>
      <c r="AY148" s="8">
        <f>('June 2024 YTD'!BI134*2)*1.03</f>
        <v>0</v>
      </c>
      <c r="AZ148" s="8">
        <f>('June 2024 YTD'!BJ134*2)*1.03</f>
        <v>0</v>
      </c>
      <c r="BA148" s="8">
        <f>('June 2024 YTD'!BK134*2)*1.03</f>
        <v>0</v>
      </c>
      <c r="BB148" s="8">
        <f>('June 2024 YTD'!BL134*2)*1.03</f>
        <v>0</v>
      </c>
      <c r="BC148" s="8">
        <f>('June 2024 YTD'!BM134*2)*1.03</f>
        <v>0</v>
      </c>
      <c r="BD148" s="8">
        <f>('June 2024 YTD'!BN134*2)*1.03</f>
        <v>0</v>
      </c>
      <c r="BE148" s="8">
        <f>('June 2024 YTD'!BO134*2)*1.03</f>
        <v>0</v>
      </c>
      <c r="BF148" s="8">
        <f>('June 2024 YTD'!BP134*2)*1.03</f>
        <v>0</v>
      </c>
      <c r="BG148" s="8">
        <f>('June 2024 YTD'!BQ134*2)*1.03</f>
        <v>0</v>
      </c>
      <c r="BH148" s="8">
        <f>('June 2024 YTD'!BR134*2)*1.03</f>
        <v>0</v>
      </c>
      <c r="BI148" s="8">
        <f>('June 2024 YTD'!BS134*2)*1.03</f>
        <v>0</v>
      </c>
      <c r="BJ148" s="8">
        <f>('June 2024 YTD'!BT134*2)*1.03</f>
        <v>0</v>
      </c>
      <c r="BK148" s="8">
        <f>('June 2024 YTD'!BU134*2)*1.03</f>
        <v>0</v>
      </c>
      <c r="BL148" s="8">
        <f>('June 2024 YTD'!BV134*2)*1.03</f>
        <v>0</v>
      </c>
      <c r="BM148" s="8">
        <f>SUM(B148:BL148)</f>
        <v>15482.880000000001</v>
      </c>
      <c r="BN148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48" s="85" t="e">
        <f>BM148-BN148</f>
        <v>#REF!</v>
      </c>
      <c r="BS148" s="8" t="e">
        <f>SUM(B148:BL148)-#REF!-AV148-AP148-SUM(AY148:BL148)</f>
        <v>#REF!</v>
      </c>
      <c r="BT148" t="s">
        <v>211</v>
      </c>
    </row>
    <row r="149" spans="1:74">
      <c r="A149" s="11" t="s">
        <v>212</v>
      </c>
      <c r="B149" s="285">
        <v>19000</v>
      </c>
      <c r="C149" s="375">
        <f t="shared" si="242"/>
        <v>20000</v>
      </c>
      <c r="D149" s="375">
        <v>17473.68</v>
      </c>
      <c r="E149" s="8">
        <v>0</v>
      </c>
      <c r="F149" s="8">
        <v>0</v>
      </c>
      <c r="G149" s="8">
        <f>'June 2025 YTD'!C142*2</f>
        <v>0</v>
      </c>
      <c r="H149" s="8">
        <f>'June 2025 YTD'!D142*2</f>
        <v>0</v>
      </c>
      <c r="I149" s="8">
        <f>'June 2025 YTD'!E142*2</f>
        <v>0</v>
      </c>
      <c r="J149" s="8">
        <f>'June 2025 YTD'!F142*2</f>
        <v>0</v>
      </c>
      <c r="K149" s="8">
        <f>'June 2025 YTD'!G142*2</f>
        <v>0</v>
      </c>
      <c r="L149" s="8">
        <f>'June 2025 YTD'!H142*2</f>
        <v>0</v>
      </c>
      <c r="M149" s="8">
        <f>'June 2025 YTD'!I142*2</f>
        <v>0</v>
      </c>
      <c r="N149" s="8">
        <f>'June 2025 YTD'!J142*2</f>
        <v>0</v>
      </c>
      <c r="O149" s="8">
        <f>'June 2025 YTD'!K142*2</f>
        <v>0</v>
      </c>
      <c r="P149" s="8">
        <f>'June 2025 YTD'!L142*2</f>
        <v>0</v>
      </c>
      <c r="Q149" s="8">
        <f>'June 2025 YTD'!M142*2</f>
        <v>0</v>
      </c>
      <c r="R149" s="8">
        <f>'June 2025 YTD'!N142*2</f>
        <v>0</v>
      </c>
      <c r="S149" s="8">
        <f>'June 2025 YTD'!O142*2</f>
        <v>0</v>
      </c>
      <c r="T149" s="8">
        <f>'June 2025 YTD'!P142*2</f>
        <v>0</v>
      </c>
      <c r="U149" s="8">
        <f>'June 2025 YTD'!Q142*2</f>
        <v>0</v>
      </c>
      <c r="V149" s="8">
        <f>'June 2025 YTD'!R142*2</f>
        <v>0</v>
      </c>
      <c r="W149" s="8">
        <f>'June 2025 YTD'!S142*2</f>
        <v>0</v>
      </c>
      <c r="X149" s="8">
        <f>'June 2025 YTD'!T142*2</f>
        <v>0</v>
      </c>
      <c r="Y149" s="8">
        <f>'June 2025 YTD'!U142*2</f>
        <v>0</v>
      </c>
      <c r="Z149" s="8">
        <f>'June 2025 YTD'!V142*2</f>
        <v>0</v>
      </c>
      <c r="AA149" s="8">
        <f>'June 2025 YTD'!W142*2</f>
        <v>0</v>
      </c>
      <c r="AB149" s="8">
        <f>'June 2025 YTD'!X142*2</f>
        <v>0</v>
      </c>
      <c r="AC149" s="8">
        <f>'June 2025 YTD'!Y142*2</f>
        <v>0</v>
      </c>
      <c r="AD149" s="8">
        <f>'June 2025 YTD'!Z142*2</f>
        <v>0</v>
      </c>
      <c r="AE149" s="8">
        <f>'June 2025 YTD'!AA142*2</f>
        <v>0</v>
      </c>
      <c r="AF149" s="8">
        <f>'June 2025 YTD'!AB142*2</f>
        <v>0</v>
      </c>
      <c r="AG149" s="8">
        <f>'June 2025 YTD'!AA142*2</f>
        <v>0</v>
      </c>
      <c r="AH149" s="8">
        <f>'June 2025 YTD'!AB142*2</f>
        <v>0</v>
      </c>
      <c r="AI149" s="8">
        <f>'June 2025 YTD'!AC142*2</f>
        <v>0</v>
      </c>
      <c r="AJ149" s="8">
        <f>'June 2025 YTD'!AD142*2</f>
        <v>0</v>
      </c>
      <c r="AK149" s="8">
        <f>'June 2025 YTD'!AE142*2</f>
        <v>0</v>
      </c>
      <c r="AL149" s="8">
        <f>'June 2025 YTD'!AF142*2</f>
        <v>0</v>
      </c>
      <c r="AM149" s="8">
        <f>'June 2025 YTD'!AG142*2</f>
        <v>0</v>
      </c>
      <c r="AN149" s="8">
        <f>'June 2025 YTD'!AH142*2</f>
        <v>0</v>
      </c>
      <c r="AO149" s="8">
        <f>'June 2025 YTD'!AI142*2</f>
        <v>0</v>
      </c>
      <c r="AP149" s="8">
        <f>'June 2025 YTD'!AJ142*2</f>
        <v>0</v>
      </c>
      <c r="AQ149" s="8">
        <f>'June 2025 YTD'!AK142*2</f>
        <v>0</v>
      </c>
      <c r="AR149" s="8">
        <f>'June 2025 YTD'!AL142*2</f>
        <v>0</v>
      </c>
      <c r="AS149" s="8">
        <f>'June 2025 YTD'!AM142*2</f>
        <v>0</v>
      </c>
      <c r="AT149" s="8">
        <f>'June 2025 YTD'!AN142*2</f>
        <v>0</v>
      </c>
      <c r="AU149" s="8">
        <v>20000</v>
      </c>
      <c r="AV149" s="8">
        <f>'June 2025 YTD'!AR142*2</f>
        <v>0</v>
      </c>
      <c r="AW149" s="364"/>
      <c r="AX149" s="8">
        <f t="shared" si="178"/>
        <v>0</v>
      </c>
      <c r="AY149" s="8">
        <f>('June 2024 YTD'!BI135*2)*1.03</f>
        <v>0</v>
      </c>
      <c r="AZ149" s="8">
        <f>('June 2024 YTD'!BJ135*2)*1.03</f>
        <v>0</v>
      </c>
      <c r="BA149" s="8">
        <f>('June 2024 YTD'!BK135*2)*1.03</f>
        <v>0</v>
      </c>
      <c r="BB149" s="8">
        <f>('June 2024 YTD'!BL135*2)*1.03</f>
        <v>0</v>
      </c>
      <c r="BC149" s="8">
        <f>('June 2024 YTD'!BM135*2)*1.03</f>
        <v>0</v>
      </c>
      <c r="BD149" s="8">
        <f>('June 2024 YTD'!BN135*2)*1.03</f>
        <v>0</v>
      </c>
      <c r="BE149" s="8">
        <f>('June 2024 YTD'!BO135*2)*1.03</f>
        <v>0</v>
      </c>
      <c r="BF149" s="8">
        <f>('June 2024 YTD'!BP135*2)*1.03</f>
        <v>0</v>
      </c>
      <c r="BG149" s="8">
        <f>('June 2024 YTD'!BQ135*2)*1.03</f>
        <v>0</v>
      </c>
      <c r="BH149" s="8">
        <f>('June 2024 YTD'!BR135*2)*1.03</f>
        <v>0</v>
      </c>
      <c r="BI149" s="8">
        <f>('June 2024 YTD'!BS135*2)*1.03</f>
        <v>0</v>
      </c>
      <c r="BJ149" s="8">
        <f>('June 2024 YTD'!BT135*2)*1.03</f>
        <v>0</v>
      </c>
      <c r="BK149" s="8">
        <f>('June 2024 YTD'!BU135*2)*1.03</f>
        <v>0</v>
      </c>
      <c r="BL149" s="8">
        <f>('June 2024 YTD'!BV135*2)*1.03</f>
        <v>0</v>
      </c>
      <c r="BM149" s="8">
        <f>SUM(B149:BL149)</f>
        <v>76473.679999999993</v>
      </c>
      <c r="BN149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49" s="85" t="e">
        <f>BM149-BN149</f>
        <v>#REF!</v>
      </c>
      <c r="BS149" s="8" t="e">
        <f>SUM(B149:BL149)-#REF!-AV149-AP149-SUM(AY149:BL149)</f>
        <v>#REF!</v>
      </c>
      <c r="BT149" t="s">
        <v>212</v>
      </c>
    </row>
    <row r="150" spans="1:74">
      <c r="A150" s="11" t="s">
        <v>213</v>
      </c>
      <c r="B150" s="285">
        <v>3400</v>
      </c>
      <c r="C150" s="375">
        <f t="shared" si="242"/>
        <v>3400</v>
      </c>
      <c r="D150" s="375">
        <v>718.32</v>
      </c>
      <c r="E150" s="8">
        <v>0</v>
      </c>
      <c r="F150" s="8">
        <v>0</v>
      </c>
      <c r="G150" s="8">
        <f>'June 2025 YTD'!C143*2</f>
        <v>0</v>
      </c>
      <c r="H150" s="8">
        <f>'June 2025 YTD'!D143*2</f>
        <v>0</v>
      </c>
      <c r="I150" s="8">
        <f>'June 2025 YTD'!E143*2</f>
        <v>0</v>
      </c>
      <c r="J150" s="8">
        <f>'June 2025 YTD'!F143*2</f>
        <v>0</v>
      </c>
      <c r="K150" s="8">
        <f>'June 2025 YTD'!G143*2</f>
        <v>0</v>
      </c>
      <c r="L150" s="8">
        <f>'June 2025 YTD'!H143*2</f>
        <v>0</v>
      </c>
      <c r="M150" s="8">
        <f>'June 2025 YTD'!I143*2</f>
        <v>0</v>
      </c>
      <c r="N150" s="8">
        <f>'June 2025 YTD'!J143*2</f>
        <v>0</v>
      </c>
      <c r="O150" s="8">
        <f>'June 2025 YTD'!K143*2</f>
        <v>0</v>
      </c>
      <c r="P150" s="8">
        <f>'June 2025 YTD'!L143*2</f>
        <v>0</v>
      </c>
      <c r="Q150" s="8">
        <f>'June 2025 YTD'!M143*2</f>
        <v>0</v>
      </c>
      <c r="R150" s="8">
        <f>'June 2025 YTD'!N143*2</f>
        <v>0</v>
      </c>
      <c r="S150" s="8">
        <f>'June 2025 YTD'!O143*2</f>
        <v>0</v>
      </c>
      <c r="T150" s="8">
        <f>'June 2025 YTD'!P143*2</f>
        <v>0</v>
      </c>
      <c r="U150" s="8">
        <f>'June 2025 YTD'!Q143*2</f>
        <v>0</v>
      </c>
      <c r="V150" s="8">
        <f>'June 2025 YTD'!R143*2</f>
        <v>0</v>
      </c>
      <c r="W150" s="8">
        <f>'June 2025 YTD'!S143*2</f>
        <v>0</v>
      </c>
      <c r="X150" s="8">
        <f>'June 2025 YTD'!T143*2</f>
        <v>0</v>
      </c>
      <c r="Y150" s="8">
        <f>'June 2025 YTD'!U143*2</f>
        <v>0</v>
      </c>
      <c r="Z150" s="8">
        <f>'June 2025 YTD'!V143*2</f>
        <v>0</v>
      </c>
      <c r="AA150" s="8">
        <f>'June 2025 YTD'!W143*2</f>
        <v>0</v>
      </c>
      <c r="AB150" s="8">
        <f>'June 2025 YTD'!X143*2</f>
        <v>0</v>
      </c>
      <c r="AC150" s="8">
        <f>'June 2025 YTD'!Y143*2</f>
        <v>0</v>
      </c>
      <c r="AD150" s="8">
        <f>'June 2025 YTD'!Z143*2</f>
        <v>0</v>
      </c>
      <c r="AE150" s="8">
        <f>'June 2025 YTD'!AA143*2</f>
        <v>0</v>
      </c>
      <c r="AF150" s="8">
        <f>'June 2025 YTD'!AB143*2</f>
        <v>0</v>
      </c>
      <c r="AG150" s="8">
        <f>'June 2025 YTD'!AA143*2</f>
        <v>0</v>
      </c>
      <c r="AH150" s="8">
        <f>'June 2025 YTD'!AB143*2</f>
        <v>0</v>
      </c>
      <c r="AI150" s="8">
        <f>'June 2025 YTD'!AC143*2</f>
        <v>0</v>
      </c>
      <c r="AJ150" s="8">
        <f>'June 2025 YTD'!AD143*2</f>
        <v>0</v>
      </c>
      <c r="AK150" s="8">
        <f>'June 2025 YTD'!AE143*2</f>
        <v>0</v>
      </c>
      <c r="AL150" s="8">
        <f>'June 2025 YTD'!AF143*2</f>
        <v>0</v>
      </c>
      <c r="AM150" s="8">
        <f>'June 2025 YTD'!AG143*2</f>
        <v>0</v>
      </c>
      <c r="AN150" s="8">
        <f>'June 2025 YTD'!AH143*2</f>
        <v>0</v>
      </c>
      <c r="AO150" s="8">
        <f>'June 2025 YTD'!AI143*2</f>
        <v>0</v>
      </c>
      <c r="AP150" s="8">
        <f>'June 2025 YTD'!AJ143*2</f>
        <v>0</v>
      </c>
      <c r="AQ150" s="8">
        <f>'June 2025 YTD'!AK143*2</f>
        <v>0</v>
      </c>
      <c r="AR150" s="8">
        <f>'June 2025 YTD'!AL143*2</f>
        <v>0</v>
      </c>
      <c r="AS150" s="8">
        <f>'June 2025 YTD'!AM143*2</f>
        <v>0</v>
      </c>
      <c r="AT150" s="8">
        <f>'June 2025 YTD'!AN143*2</f>
        <v>0</v>
      </c>
      <c r="AU150" s="8">
        <v>2200</v>
      </c>
      <c r="AV150" s="8">
        <v>1200</v>
      </c>
      <c r="AW150" s="364"/>
      <c r="AX150" s="8">
        <f t="shared" si="178"/>
        <v>0</v>
      </c>
      <c r="AY150" s="8">
        <f>('June 2024 YTD'!BI136*2)*1.03</f>
        <v>0</v>
      </c>
      <c r="AZ150" s="8">
        <f>('June 2024 YTD'!BJ136*2)*1.03</f>
        <v>0</v>
      </c>
      <c r="BA150" s="8">
        <f>('June 2024 YTD'!BK136*2)*1.03</f>
        <v>0</v>
      </c>
      <c r="BB150" s="8">
        <f>('June 2024 YTD'!BL136*2)*1.03</f>
        <v>0</v>
      </c>
      <c r="BC150" s="8">
        <f>('June 2024 YTD'!BM136*2)*1.03</f>
        <v>0</v>
      </c>
      <c r="BD150" s="8">
        <f>('June 2024 YTD'!BN136*2)*1.03</f>
        <v>0</v>
      </c>
      <c r="BE150" s="8">
        <f>('June 2024 YTD'!BO136*2)*1.03</f>
        <v>0</v>
      </c>
      <c r="BF150" s="8">
        <f>('June 2024 YTD'!BP136*2)*1.03</f>
        <v>0</v>
      </c>
      <c r="BG150" s="8">
        <f>('June 2024 YTD'!BQ136*2)*1.03</f>
        <v>0</v>
      </c>
      <c r="BH150" s="8">
        <f>('June 2024 YTD'!BR136*2)*1.03</f>
        <v>0</v>
      </c>
      <c r="BI150" s="8">
        <f>('June 2024 YTD'!BS136*2)*1.03</f>
        <v>0</v>
      </c>
      <c r="BJ150" s="8">
        <f>('June 2024 YTD'!BT136*2)*1.03</f>
        <v>0</v>
      </c>
      <c r="BK150" s="8">
        <f>('June 2024 YTD'!BU136*2)*1.03</f>
        <v>0</v>
      </c>
      <c r="BL150" s="8">
        <f>('June 2024 YTD'!BV136*2)*1.03</f>
        <v>0</v>
      </c>
      <c r="BM150" s="8">
        <f>SUM(B150:BL150)</f>
        <v>10918.32</v>
      </c>
      <c r="BN150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50" s="85" t="e">
        <f>BM150-BN150</f>
        <v>#REF!</v>
      </c>
      <c r="BS150" s="8" t="e">
        <f>SUM(B150:BL150)-#REF!-AV150-AP150-SUM(AY150:BL150)</f>
        <v>#REF!</v>
      </c>
      <c r="BT150" t="s">
        <v>213</v>
      </c>
      <c r="BV150" s="85"/>
    </row>
    <row r="151" spans="1:74">
      <c r="A151" s="11" t="s">
        <v>214</v>
      </c>
      <c r="B151" s="285">
        <v>3400</v>
      </c>
      <c r="C151" s="375">
        <f t="shared" si="242"/>
        <v>3400</v>
      </c>
      <c r="D151" s="375">
        <v>2274.36</v>
      </c>
      <c r="E151" s="8">
        <v>0</v>
      </c>
      <c r="F151" s="8">
        <v>0</v>
      </c>
      <c r="G151" s="8">
        <f>'June 2025 YTD'!C144*2</f>
        <v>0</v>
      </c>
      <c r="H151" s="8">
        <f>'June 2025 YTD'!D144*2</f>
        <v>0</v>
      </c>
      <c r="I151" s="8">
        <f>'June 2025 YTD'!E144*2</f>
        <v>0</v>
      </c>
      <c r="J151" s="8">
        <f>'June 2025 YTD'!F144*2</f>
        <v>0</v>
      </c>
      <c r="K151" s="8">
        <f>'June 2025 YTD'!G144*2</f>
        <v>0</v>
      </c>
      <c r="L151" s="8">
        <f>'June 2025 YTD'!H144*2</f>
        <v>0</v>
      </c>
      <c r="M151" s="8">
        <f>'June 2025 YTD'!I144*2</f>
        <v>0</v>
      </c>
      <c r="N151" s="8">
        <f>'June 2025 YTD'!J144*2</f>
        <v>0</v>
      </c>
      <c r="O151" s="8">
        <f>'June 2025 YTD'!K144*2</f>
        <v>0</v>
      </c>
      <c r="P151" s="8">
        <f>'June 2025 YTD'!L144*2</f>
        <v>0</v>
      </c>
      <c r="Q151" s="8">
        <f>'June 2025 YTD'!M144*2</f>
        <v>0</v>
      </c>
      <c r="R151" s="8">
        <f>'June 2025 YTD'!N144*2</f>
        <v>0</v>
      </c>
      <c r="S151" s="8">
        <f>'June 2025 YTD'!O144*2</f>
        <v>0</v>
      </c>
      <c r="T151" s="8">
        <f>'June 2025 YTD'!P144*2</f>
        <v>0</v>
      </c>
      <c r="U151" s="8">
        <f>'June 2025 YTD'!Q144*2</f>
        <v>0</v>
      </c>
      <c r="V151" s="8">
        <f>'June 2025 YTD'!R144*2</f>
        <v>0</v>
      </c>
      <c r="W151" s="8">
        <f>'June 2025 YTD'!S144*2</f>
        <v>0</v>
      </c>
      <c r="X151" s="8">
        <f>'June 2025 YTD'!T144*2</f>
        <v>0</v>
      </c>
      <c r="Y151" s="8">
        <f>'June 2025 YTD'!U144*2</f>
        <v>0</v>
      </c>
      <c r="Z151" s="8">
        <f>'June 2025 YTD'!V144*2</f>
        <v>0</v>
      </c>
      <c r="AA151" s="8">
        <f>'June 2025 YTD'!W144*2</f>
        <v>0</v>
      </c>
      <c r="AB151" s="8">
        <f>'June 2025 YTD'!X144*2</f>
        <v>0</v>
      </c>
      <c r="AC151" s="8">
        <f>'June 2025 YTD'!Y144*2</f>
        <v>0</v>
      </c>
      <c r="AD151" s="8">
        <f>'June 2025 YTD'!Z144*2</f>
        <v>0</v>
      </c>
      <c r="AE151" s="8">
        <f>'June 2025 YTD'!AA144*2</f>
        <v>0</v>
      </c>
      <c r="AF151" s="8">
        <f>'June 2025 YTD'!AB144*2</f>
        <v>0</v>
      </c>
      <c r="AG151" s="8">
        <f>'June 2025 YTD'!AA144*2</f>
        <v>0</v>
      </c>
      <c r="AH151" s="8">
        <f>'June 2025 YTD'!AB144*2</f>
        <v>0</v>
      </c>
      <c r="AI151" s="8">
        <f>'June 2025 YTD'!AC144*2</f>
        <v>0</v>
      </c>
      <c r="AJ151" s="8">
        <f>'June 2025 YTD'!AD144*2</f>
        <v>0</v>
      </c>
      <c r="AK151" s="8">
        <f>'June 2025 YTD'!AE144*2</f>
        <v>0</v>
      </c>
      <c r="AL151" s="8">
        <f>'June 2025 YTD'!AF144*2</f>
        <v>0</v>
      </c>
      <c r="AM151" s="8">
        <f>'June 2025 YTD'!AG144*2</f>
        <v>0</v>
      </c>
      <c r="AN151" s="8">
        <f>'June 2025 YTD'!AH144*2</f>
        <v>0</v>
      </c>
      <c r="AO151" s="8">
        <f>'June 2025 YTD'!AI144*2</f>
        <v>0</v>
      </c>
      <c r="AP151" s="8">
        <f>'June 2025 YTD'!AJ144*2</f>
        <v>0</v>
      </c>
      <c r="AQ151" s="8">
        <f>'June 2025 YTD'!AK144*2</f>
        <v>0</v>
      </c>
      <c r="AR151" s="8">
        <f>'June 2025 YTD'!AL144*2</f>
        <v>0</v>
      </c>
      <c r="AS151" s="8">
        <f>'June 2025 YTD'!AM144*2</f>
        <v>0</v>
      </c>
      <c r="AT151" s="8">
        <f>'June 2025 YTD'!AN144*2</f>
        <v>0</v>
      </c>
      <c r="AU151" s="8">
        <v>1200</v>
      </c>
      <c r="AV151" s="8">
        <v>2200</v>
      </c>
      <c r="AW151" s="364"/>
      <c r="AX151" s="8">
        <f t="shared" si="178"/>
        <v>0</v>
      </c>
      <c r="AY151" s="8">
        <f>('June 2024 YTD'!BI137*2)*1.03</f>
        <v>0</v>
      </c>
      <c r="AZ151" s="8">
        <f>('June 2024 YTD'!BJ137*2)*1.03</f>
        <v>0</v>
      </c>
      <c r="BA151" s="8">
        <f>('June 2024 YTD'!BK137*2)*1.03</f>
        <v>0</v>
      </c>
      <c r="BB151" s="8">
        <f>('June 2024 YTD'!BL137*2)*1.03</f>
        <v>0</v>
      </c>
      <c r="BC151" s="8">
        <f>('June 2024 YTD'!BM137*2)*1.03</f>
        <v>0</v>
      </c>
      <c r="BD151" s="8">
        <f>('June 2024 YTD'!BN137*2)*1.03</f>
        <v>0</v>
      </c>
      <c r="BE151" s="8">
        <f>('June 2024 YTD'!BO137*2)*1.03</f>
        <v>0</v>
      </c>
      <c r="BF151" s="8">
        <f>('June 2024 YTD'!BP137*2)*1.03</f>
        <v>0</v>
      </c>
      <c r="BG151" s="8">
        <f>('June 2024 YTD'!BQ137*2)*1.03</f>
        <v>0</v>
      </c>
      <c r="BH151" s="8">
        <f>('June 2024 YTD'!BR137*2)*1.03</f>
        <v>0</v>
      </c>
      <c r="BI151" s="8">
        <f>('June 2024 YTD'!BS137*2)*1.03</f>
        <v>0</v>
      </c>
      <c r="BJ151" s="8">
        <f>('June 2024 YTD'!BT137*2)*1.03</f>
        <v>0</v>
      </c>
      <c r="BK151" s="8">
        <f>('June 2024 YTD'!BU137*2)*1.03</f>
        <v>0</v>
      </c>
      <c r="BL151" s="8">
        <f>('June 2024 YTD'!BV137*2)*1.03</f>
        <v>0</v>
      </c>
      <c r="BM151" s="8">
        <f>SUM(B151:BL151)</f>
        <v>12474.36</v>
      </c>
      <c r="BN151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51" s="85" t="e">
        <f>BM151-BN151</f>
        <v>#REF!</v>
      </c>
      <c r="BS151" s="8" t="e">
        <f>SUM(B151:BL151)-#REF!-AV151-AP151-SUM(AY151:BL151)</f>
        <v>#REF!</v>
      </c>
      <c r="BT151" t="s">
        <v>214</v>
      </c>
    </row>
    <row r="152" spans="1:74">
      <c r="A152" s="6" t="s">
        <v>215</v>
      </c>
      <c r="B152" s="274"/>
      <c r="C152" s="381"/>
      <c r="D152" s="381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366"/>
      <c r="AX152" s="4">
        <f t="shared" si="178"/>
        <v>0</v>
      </c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O152" s="85"/>
      <c r="BS152" s="4"/>
      <c r="BT152" t="s">
        <v>215</v>
      </c>
    </row>
    <row r="153" spans="1:74">
      <c r="A153" s="7" t="s">
        <v>216</v>
      </c>
      <c r="B153" s="346">
        <f>SUM(G153:BL153)</f>
        <v>24687987.980000004</v>
      </c>
      <c r="C153" s="375">
        <f>SUM(E153:AV153)</f>
        <v>0</v>
      </c>
      <c r="D153" s="375">
        <v>0</v>
      </c>
      <c r="E153" s="8">
        <v>0</v>
      </c>
      <c r="F153" s="8">
        <v>0</v>
      </c>
      <c r="G153" s="8">
        <f>'June 2025 YTD'!C145*2</f>
        <v>0</v>
      </c>
      <c r="H153" s="8">
        <f>'June 2025 YTD'!D145*2</f>
        <v>0</v>
      </c>
      <c r="I153" s="8">
        <f>'June 2025 YTD'!E145*2</f>
        <v>0</v>
      </c>
      <c r="J153" s="8">
        <f>'June 2025 YTD'!F145*2</f>
        <v>0</v>
      </c>
      <c r="K153" s="8">
        <f>'June 2025 YTD'!G145*2</f>
        <v>0</v>
      </c>
      <c r="L153" s="8">
        <f>'June 2025 YTD'!H145*2</f>
        <v>0</v>
      </c>
      <c r="M153" s="8">
        <f>'June 2025 YTD'!I145*2</f>
        <v>0</v>
      </c>
      <c r="N153" s="8">
        <f>'June 2025 YTD'!J145*2</f>
        <v>0</v>
      </c>
      <c r="O153" s="8">
        <f>'June 2025 YTD'!K145*2</f>
        <v>0</v>
      </c>
      <c r="P153" s="8">
        <f>'June 2025 YTD'!L145*2</f>
        <v>0</v>
      </c>
      <c r="Q153" s="8">
        <f>'June 2025 YTD'!M145*2</f>
        <v>0</v>
      </c>
      <c r="R153" s="8">
        <f>'June 2025 YTD'!N145*2</f>
        <v>0</v>
      </c>
      <c r="S153" s="8">
        <f>'June 2025 YTD'!O145*2</f>
        <v>0</v>
      </c>
      <c r="T153" s="8">
        <f>'June 2025 YTD'!P145*2</f>
        <v>0</v>
      </c>
      <c r="U153" s="8">
        <f>'June 2025 YTD'!Q145*2</f>
        <v>0</v>
      </c>
      <c r="V153" s="8">
        <f>'June 2025 YTD'!R145*2</f>
        <v>0</v>
      </c>
      <c r="W153" s="8">
        <f>'June 2025 YTD'!S145*2</f>
        <v>0</v>
      </c>
      <c r="X153" s="8">
        <f>'June 2025 YTD'!T145*2</f>
        <v>0</v>
      </c>
      <c r="Y153" s="8">
        <f>'June 2025 YTD'!U145*2</f>
        <v>0</v>
      </c>
      <c r="Z153" s="8">
        <f>'June 2025 YTD'!V145*2</f>
        <v>0</v>
      </c>
      <c r="AA153" s="8">
        <f>'June 2025 YTD'!W145*2</f>
        <v>0</v>
      </c>
      <c r="AB153" s="8">
        <f>'June 2025 YTD'!X145*2</f>
        <v>0</v>
      </c>
      <c r="AC153" s="8">
        <f>'June 2025 YTD'!Y145*2</f>
        <v>0</v>
      </c>
      <c r="AD153" s="8">
        <f>'June 2025 YTD'!Z145*2</f>
        <v>0</v>
      </c>
      <c r="AE153" s="8">
        <f>'June 2025 YTD'!AA145*2</f>
        <v>0</v>
      </c>
      <c r="AF153" s="8">
        <f>'June 2025 YTD'!AB145*2</f>
        <v>0</v>
      </c>
      <c r="AG153" s="8">
        <f>'June 2025 YTD'!AC145*2</f>
        <v>0</v>
      </c>
      <c r="AH153" s="8">
        <f>'June 2025 YTD'!AD145*2</f>
        <v>0</v>
      </c>
      <c r="AI153" s="8">
        <f>'June 2025 YTD'!AE145*2</f>
        <v>0</v>
      </c>
      <c r="AJ153" s="8">
        <f>'June 2025 YTD'!AF145*2</f>
        <v>0</v>
      </c>
      <c r="AK153" s="8">
        <f>'June 2025 YTD'!AG145*2</f>
        <v>0</v>
      </c>
      <c r="AL153" s="8">
        <f>'June 2025 YTD'!AH145*2</f>
        <v>0</v>
      </c>
      <c r="AM153" s="8">
        <f>'June 2025 YTD'!AI145*2</f>
        <v>0</v>
      </c>
      <c r="AN153" s="8">
        <f>'June 2025 YTD'!AJ145*2</f>
        <v>0</v>
      </c>
      <c r="AO153" s="8">
        <f>'June 2025 YTD'!AK145*2</f>
        <v>0</v>
      </c>
      <c r="AP153" s="8">
        <f>'June 2025 YTD'!AL145*2</f>
        <v>0</v>
      </c>
      <c r="AQ153" s="8">
        <f>'June 2025 YTD'!AM145*2</f>
        <v>0</v>
      </c>
      <c r="AR153" s="8">
        <f>'June 2025 YTD'!AN145*2</f>
        <v>0</v>
      </c>
      <c r="AS153" s="8">
        <f>'June 2025 YTD'!AO145*2</f>
        <v>0</v>
      </c>
      <c r="AT153" s="8">
        <f>'June 2025 YTD'!AP145*2</f>
        <v>0</v>
      </c>
      <c r="AU153" s="8">
        <f>'June 2025 YTD'!AQ145*2</f>
        <v>0</v>
      </c>
      <c r="AV153" s="8">
        <f>'June 2025 YTD'!AR145*2</f>
        <v>0</v>
      </c>
      <c r="AW153" s="364"/>
      <c r="AX153" s="8">
        <f t="shared" si="178"/>
        <v>12343993.99</v>
      </c>
      <c r="AY153" s="8">
        <f>AY18</f>
        <v>1748847</v>
      </c>
      <c r="AZ153" s="8">
        <f t="shared" ref="AZ153:BL153" si="243">AZ18</f>
        <v>687259.4</v>
      </c>
      <c r="BA153" s="8">
        <f t="shared" si="243"/>
        <v>2994750.6</v>
      </c>
      <c r="BB153" s="8">
        <f t="shared" si="243"/>
        <v>34900</v>
      </c>
      <c r="BC153" s="8">
        <v>0</v>
      </c>
      <c r="BD153" s="8">
        <f t="shared" si="243"/>
        <v>524345</v>
      </c>
      <c r="BE153" s="8">
        <f t="shared" si="243"/>
        <v>72745</v>
      </c>
      <c r="BF153" s="8">
        <f t="shared" si="243"/>
        <v>1100311</v>
      </c>
      <c r="BG153" s="8">
        <f t="shared" si="243"/>
        <v>855571</v>
      </c>
      <c r="BH153" s="8">
        <f>280244.81+754849.44</f>
        <v>1035094.25</v>
      </c>
      <c r="BI153" s="8">
        <f>596899.75+1875931.49</f>
        <v>2472831.2400000002</v>
      </c>
      <c r="BJ153" s="8">
        <v>344472.5</v>
      </c>
      <c r="BK153" s="8">
        <f t="shared" si="243"/>
        <v>246345</v>
      </c>
      <c r="BL153" s="8">
        <f t="shared" si="243"/>
        <v>226522</v>
      </c>
      <c r="BM153" s="8">
        <f>SUM(B153:BL153)</f>
        <v>49375975.960000008</v>
      </c>
      <c r="BN153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53" s="85" t="e">
        <f>BM153-BN153</f>
        <v>#REF!</v>
      </c>
      <c r="BS153" s="8" t="e">
        <f>SUM(B153:BL153)-#REF!-AV153-AP153-SUM(AY153:BL153)</f>
        <v>#REF!</v>
      </c>
      <c r="BT153" t="s">
        <v>216</v>
      </c>
    </row>
    <row r="154" spans="1:74">
      <c r="A154" s="7" t="s">
        <v>217</v>
      </c>
      <c r="B154" s="346">
        <f>SUM(G154:BL154)</f>
        <v>23148066.02</v>
      </c>
      <c r="C154" s="375">
        <f>SUM(E154:AV154)</f>
        <v>0</v>
      </c>
      <c r="D154" s="375">
        <v>281577.36</v>
      </c>
      <c r="E154" s="8">
        <v>0</v>
      </c>
      <c r="F154" s="8">
        <v>0</v>
      </c>
      <c r="G154" s="8">
        <f>'June 2025 YTD'!C146*2</f>
        <v>0</v>
      </c>
      <c r="H154" s="8">
        <f>'June 2025 YTD'!D146*2</f>
        <v>0</v>
      </c>
      <c r="I154" s="8">
        <f>'June 2025 YTD'!E146*2</f>
        <v>0</v>
      </c>
      <c r="J154" s="8">
        <f>'June 2025 YTD'!F146*2</f>
        <v>0</v>
      </c>
      <c r="K154" s="8">
        <f>'June 2025 YTD'!G146*2</f>
        <v>0</v>
      </c>
      <c r="L154" s="8">
        <f>'June 2025 YTD'!H146*2</f>
        <v>0</v>
      </c>
      <c r="M154" s="8">
        <f>'June 2025 YTD'!I146*2</f>
        <v>0</v>
      </c>
      <c r="N154" s="8">
        <f>'June 2025 YTD'!J146*2</f>
        <v>0</v>
      </c>
      <c r="O154" s="8">
        <f>'June 2025 YTD'!K146*2</f>
        <v>0</v>
      </c>
      <c r="P154" s="8">
        <f>'June 2025 YTD'!L146*2</f>
        <v>0</v>
      </c>
      <c r="Q154" s="8">
        <f>'June 2025 YTD'!M146*2</f>
        <v>0</v>
      </c>
      <c r="R154" s="8">
        <f>'June 2025 YTD'!N146*2</f>
        <v>0</v>
      </c>
      <c r="S154" s="8">
        <f>'June 2025 YTD'!O146*2</f>
        <v>0</v>
      </c>
      <c r="T154" s="8">
        <f>'June 2025 YTD'!P146*2</f>
        <v>0</v>
      </c>
      <c r="U154" s="8">
        <f>'June 2025 YTD'!Q146*2</f>
        <v>0</v>
      </c>
      <c r="V154" s="8">
        <f>'June 2025 YTD'!R146*2</f>
        <v>0</v>
      </c>
      <c r="W154" s="8">
        <f>'June 2025 YTD'!S146*2</f>
        <v>0</v>
      </c>
      <c r="X154" s="8">
        <f>'June 2025 YTD'!T146*2</f>
        <v>0</v>
      </c>
      <c r="Y154" s="8">
        <f>'June 2025 YTD'!U146*2</f>
        <v>0</v>
      </c>
      <c r="Z154" s="8">
        <f>'June 2025 YTD'!V146*2</f>
        <v>0</v>
      </c>
      <c r="AA154" s="8">
        <f>'June 2025 YTD'!W146*2</f>
        <v>0</v>
      </c>
      <c r="AB154" s="8">
        <f>'June 2025 YTD'!X146*2</f>
        <v>0</v>
      </c>
      <c r="AC154" s="8">
        <f>'June 2025 YTD'!Y146*2</f>
        <v>0</v>
      </c>
      <c r="AD154" s="8">
        <f>'June 2025 YTD'!Z146*2</f>
        <v>0</v>
      </c>
      <c r="AE154" s="8">
        <f>'June 2025 YTD'!AA146*2</f>
        <v>0</v>
      </c>
      <c r="AF154" s="8">
        <f>'June 2025 YTD'!AB146*2</f>
        <v>0</v>
      </c>
      <c r="AG154" s="8">
        <f>'June 2025 YTD'!AC146*2</f>
        <v>0</v>
      </c>
      <c r="AH154" s="8">
        <f>'June 2025 YTD'!AD146*2</f>
        <v>0</v>
      </c>
      <c r="AI154" s="8">
        <f>'June 2025 YTD'!AE146*2</f>
        <v>0</v>
      </c>
      <c r="AJ154" s="8">
        <f>'June 2025 YTD'!AF146*2</f>
        <v>0</v>
      </c>
      <c r="AK154" s="8">
        <f>'June 2025 YTD'!AG146*2</f>
        <v>0</v>
      </c>
      <c r="AL154" s="8">
        <f>'June 2025 YTD'!AH146*2</f>
        <v>0</v>
      </c>
      <c r="AM154" s="8">
        <f>'June 2025 YTD'!AI146*2</f>
        <v>0</v>
      </c>
      <c r="AN154" s="8">
        <f>'June 2025 YTD'!AJ146*2</f>
        <v>0</v>
      </c>
      <c r="AO154" s="8">
        <f>'June 2025 YTD'!AK146*2</f>
        <v>0</v>
      </c>
      <c r="AP154" s="8">
        <f>'June 2025 YTD'!AL146*2</f>
        <v>0</v>
      </c>
      <c r="AQ154" s="8">
        <f>'June 2025 YTD'!AM146*2</f>
        <v>0</v>
      </c>
      <c r="AR154" s="8">
        <f>'June 2025 YTD'!AN146*2</f>
        <v>0</v>
      </c>
      <c r="AS154" s="8">
        <f>'June 2025 YTD'!AO146*2</f>
        <v>0</v>
      </c>
      <c r="AT154" s="8">
        <f>'June 2025 YTD'!AP146*2</f>
        <v>0</v>
      </c>
      <c r="AU154" s="8">
        <f>'June 2025 YTD'!AQ146*2</f>
        <v>0</v>
      </c>
      <c r="AV154" s="8">
        <f>'June 2025 YTD'!AR146*2</f>
        <v>0</v>
      </c>
      <c r="AW154" s="364"/>
      <c r="AX154" s="8">
        <f t="shared" si="178"/>
        <v>11574033.01</v>
      </c>
      <c r="AY154" s="8">
        <f>'June 2024 YTD'!BI140*2</f>
        <v>0</v>
      </c>
      <c r="AZ154" s="8">
        <f>'June 2024 YTD'!BJ140*2</f>
        <v>0</v>
      </c>
      <c r="BA154" s="8">
        <f>'June 2024 YTD'!BK140*2</f>
        <v>0</v>
      </c>
      <c r="BB154" s="8">
        <f>'June 2024 YTD'!BL140*2</f>
        <v>0</v>
      </c>
      <c r="BC154" s="8">
        <f>BC18</f>
        <v>636004</v>
      </c>
      <c r="BD154" s="8">
        <f>'June 2024 YTD'!BN140*2</f>
        <v>0</v>
      </c>
      <c r="BE154" s="8">
        <f>'June 2024 YTD'!BO140*2</f>
        <v>0</v>
      </c>
      <c r="BF154" s="8">
        <f>'June 2024 YTD'!BP140*2</f>
        <v>0</v>
      </c>
      <c r="BG154" s="8">
        <f>'June 2024 YTD'!BQ140*2</f>
        <v>0</v>
      </c>
      <c r="BH154" s="8">
        <v>3531293.75</v>
      </c>
      <c r="BI154" s="8">
        <f>6770723.76</f>
        <v>6770723.7599999998</v>
      </c>
      <c r="BJ154" s="8">
        <v>636011.5</v>
      </c>
      <c r="BK154" s="8">
        <f>'June 2024 YTD'!BU140*2</f>
        <v>0</v>
      </c>
      <c r="BL154" s="8">
        <f>'June 2024 YTD'!BV140*2</f>
        <v>0</v>
      </c>
      <c r="BM154" s="8">
        <f>SUM(B154:BL154)</f>
        <v>46577709.399999999</v>
      </c>
      <c r="BN154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54" s="85" t="e">
        <f>BM154-BN154</f>
        <v>#REF!</v>
      </c>
      <c r="BS154" s="8" t="e">
        <f>SUM(B154:BL154)-#REF!-AV154-AP154-SUM(AY154:BL154)</f>
        <v>#REF!</v>
      </c>
      <c r="BT154" t="s">
        <v>217</v>
      </c>
    </row>
    <row r="155" spans="1:74">
      <c r="A155" s="15" t="s">
        <v>218</v>
      </c>
      <c r="B155" s="19"/>
      <c r="C155" s="375"/>
      <c r="D155" s="375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366"/>
      <c r="AX155" s="8">
        <f t="shared" si="178"/>
        <v>0</v>
      </c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O155" s="85"/>
      <c r="BS155" s="4"/>
      <c r="BT155" t="s">
        <v>218</v>
      </c>
    </row>
    <row r="156" spans="1:74">
      <c r="A156" s="16" t="s">
        <v>219</v>
      </c>
      <c r="B156" s="285">
        <f>3724706.66*1.07</f>
        <v>3985436.1262000003</v>
      </c>
      <c r="C156" s="375">
        <f>SUM(E156:AV156)</f>
        <v>4104999.2099860003</v>
      </c>
      <c r="D156" s="375">
        <v>3724252.12</v>
      </c>
      <c r="E156" s="8">
        <v>0</v>
      </c>
      <c r="F156" s="8">
        <v>0</v>
      </c>
      <c r="G156" s="8">
        <f>'June 2025 YTD'!C148*2</f>
        <v>0</v>
      </c>
      <c r="H156" s="8">
        <f>'June 2025 YTD'!D148*2</f>
        <v>0</v>
      </c>
      <c r="I156" s="8">
        <f>'June 2025 YTD'!E148*2</f>
        <v>0</v>
      </c>
      <c r="J156" s="8">
        <f>'June 2025 YTD'!F148*2</f>
        <v>0</v>
      </c>
      <c r="K156" s="8">
        <f>'June 2025 YTD'!G148*2</f>
        <v>0</v>
      </c>
      <c r="L156" s="8">
        <f>'June 2025 YTD'!H148*2</f>
        <v>0</v>
      </c>
      <c r="M156" s="8">
        <f>'June 2025 YTD'!I148*2</f>
        <v>0</v>
      </c>
      <c r="N156" s="8">
        <f>'June 2025 YTD'!J148*2</f>
        <v>0</v>
      </c>
      <c r="O156" s="8">
        <f>'June 2025 YTD'!K148*2</f>
        <v>0</v>
      </c>
      <c r="P156" s="8">
        <f>'June 2025 YTD'!L148*2</f>
        <v>0</v>
      </c>
      <c r="Q156" s="8">
        <f>'June 2025 YTD'!M148*2</f>
        <v>0</v>
      </c>
      <c r="R156" s="8">
        <f>'June 2025 YTD'!N148*2</f>
        <v>0</v>
      </c>
      <c r="S156" s="8">
        <f>'June 2025 YTD'!O148*2</f>
        <v>0</v>
      </c>
      <c r="T156" s="8">
        <f>'June 2025 YTD'!P148*2</f>
        <v>0</v>
      </c>
      <c r="U156" s="8">
        <f>'June 2025 YTD'!Q148*2</f>
        <v>0</v>
      </c>
      <c r="V156" s="8">
        <f>'June 2025 YTD'!R148*2</f>
        <v>0</v>
      </c>
      <c r="W156" s="8">
        <f>'June 2025 YTD'!S148*2</f>
        <v>0</v>
      </c>
      <c r="X156" s="8">
        <f>'June 2025 YTD'!T148*2</f>
        <v>0</v>
      </c>
      <c r="Y156" s="8">
        <f>'June 2025 YTD'!U148*2</f>
        <v>0</v>
      </c>
      <c r="Z156" s="8">
        <f>'June 2025 YTD'!V148*2</f>
        <v>0</v>
      </c>
      <c r="AA156" s="8">
        <f>'June 2025 YTD'!W148*2</f>
        <v>0</v>
      </c>
      <c r="AB156" s="8">
        <f>'June 2025 YTD'!X148*2</f>
        <v>0</v>
      </c>
      <c r="AC156" s="8">
        <f>'June 2025 YTD'!Y148*2</f>
        <v>0</v>
      </c>
      <c r="AD156" s="8">
        <f>'June 2025 YTD'!Z148*2</f>
        <v>0</v>
      </c>
      <c r="AE156" s="8">
        <f>'June 2025 YTD'!AA148*2</f>
        <v>0</v>
      </c>
      <c r="AF156" s="8">
        <f>'June 2025 YTD'!AB148*2</f>
        <v>0</v>
      </c>
      <c r="AG156" s="8">
        <f>(B156*60%)*1.03</f>
        <v>2462999.5259916005</v>
      </c>
      <c r="AH156" s="8">
        <f>(B156*40%)*1.03</f>
        <v>1641999.6839944001</v>
      </c>
      <c r="AI156" s="8">
        <f>'June 2025 YTD'!AE148*2</f>
        <v>0</v>
      </c>
      <c r="AJ156" s="8">
        <f>'June 2025 YTD'!AF148*2</f>
        <v>0</v>
      </c>
      <c r="AK156" s="8">
        <f>'June 2025 YTD'!AG148*2</f>
        <v>0</v>
      </c>
      <c r="AL156" s="8">
        <f>'June 2025 YTD'!AH148*2</f>
        <v>0</v>
      </c>
      <c r="AM156" s="8">
        <f>'June 2025 YTD'!AI148*2</f>
        <v>0</v>
      </c>
      <c r="AN156" s="8">
        <f>'June 2025 YTD'!AJ148*2</f>
        <v>0</v>
      </c>
      <c r="AO156" s="8">
        <f>'June 2025 YTD'!AK148*2</f>
        <v>0</v>
      </c>
      <c r="AP156" s="8">
        <f>'June 2025 YTD'!AL148*2</f>
        <v>0</v>
      </c>
      <c r="AQ156" s="8">
        <f>'June 2025 YTD'!AM148*2</f>
        <v>0</v>
      </c>
      <c r="AR156" s="8">
        <f>'June 2025 YTD'!AN148*2</f>
        <v>0</v>
      </c>
      <c r="AS156" s="8">
        <f>'June 2025 YTD'!AO148*2</f>
        <v>0</v>
      </c>
      <c r="AT156" s="8">
        <f>'June 2025 YTD'!AP148*2</f>
        <v>0</v>
      </c>
      <c r="AU156" s="8">
        <f>'June 2025 YTD'!AQ148*2</f>
        <v>0</v>
      </c>
      <c r="AV156" s="8">
        <f>'June 2025 YTD'!AR148*2</f>
        <v>0</v>
      </c>
      <c r="AW156" s="364"/>
      <c r="AX156" s="8">
        <f t="shared" si="178"/>
        <v>0</v>
      </c>
      <c r="AY156" s="8">
        <f>('June 2024 YTD'!BI142*2)*1.03</f>
        <v>0</v>
      </c>
      <c r="AZ156" s="8">
        <f>('June 2024 YTD'!BJ142*2)*1.03</f>
        <v>0</v>
      </c>
      <c r="BA156" s="8">
        <f>('June 2024 YTD'!BK142*2)*1.03</f>
        <v>0</v>
      </c>
      <c r="BB156" s="8">
        <f>('June 2024 YTD'!BL142*2)*1.03</f>
        <v>0</v>
      </c>
      <c r="BC156" s="8">
        <f>('June 2024 YTD'!BM142*2)*1.03</f>
        <v>0</v>
      </c>
      <c r="BD156" s="8">
        <f>('June 2024 YTD'!BN142*2)*1.03</f>
        <v>0</v>
      </c>
      <c r="BE156" s="8">
        <f>('June 2024 YTD'!BO142*2)*1.03</f>
        <v>0</v>
      </c>
      <c r="BF156" s="8">
        <f>('June 2024 YTD'!BP142*2)*1.03</f>
        <v>0</v>
      </c>
      <c r="BG156" s="8">
        <f>('June 2024 YTD'!BQ142*2)*1.03</f>
        <v>0</v>
      </c>
      <c r="BH156" s="8">
        <f>('June 2024 YTD'!BR142*2)*1.03</f>
        <v>0</v>
      </c>
      <c r="BI156" s="8">
        <f>('June 2024 YTD'!BS142*2)*1.03</f>
        <v>0</v>
      </c>
      <c r="BJ156" s="8">
        <f>('June 2024 YTD'!BT142*2)*1.03</f>
        <v>0</v>
      </c>
      <c r="BK156" s="8">
        <f>('June 2024 YTD'!BU142*2)*1.03</f>
        <v>0</v>
      </c>
      <c r="BL156" s="8">
        <f>('June 2024 YTD'!BV142*2)*1.03</f>
        <v>0</v>
      </c>
      <c r="BM156" s="8">
        <f>SUM(B156:BL156)</f>
        <v>15919686.666172</v>
      </c>
      <c r="BN156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56" s="85" t="e">
        <f>BM156-BN156</f>
        <v>#REF!</v>
      </c>
      <c r="BS156" s="8" t="e">
        <f>SUM(B156:BL156)-#REF!-AV156-AP156-SUM(AY156:BL156)</f>
        <v>#REF!</v>
      </c>
      <c r="BT156" t="s">
        <v>219</v>
      </c>
    </row>
    <row r="157" spans="1:74">
      <c r="A157" s="17" t="s">
        <v>220</v>
      </c>
      <c r="B157" s="275">
        <f t="shared" ref="B157:AI157" si="244">SUM(B156)</f>
        <v>3985436.1262000003</v>
      </c>
      <c r="C157" s="377">
        <f t="shared" si="244"/>
        <v>4104999.2099860003</v>
      </c>
      <c r="D157" s="377">
        <v>3725252.12</v>
      </c>
      <c r="E157" s="10">
        <f>SUM(E156)</f>
        <v>0</v>
      </c>
      <c r="F157" s="10">
        <f>SUM(F156)</f>
        <v>0</v>
      </c>
      <c r="G157" s="10">
        <f t="shared" si="244"/>
        <v>0</v>
      </c>
      <c r="H157" s="10">
        <f t="shared" si="244"/>
        <v>0</v>
      </c>
      <c r="I157" s="10">
        <f t="shared" si="244"/>
        <v>0</v>
      </c>
      <c r="J157" s="10">
        <f t="shared" si="244"/>
        <v>0</v>
      </c>
      <c r="K157" s="10">
        <f t="shared" si="244"/>
        <v>0</v>
      </c>
      <c r="L157" s="10">
        <f t="shared" si="244"/>
        <v>0</v>
      </c>
      <c r="M157" s="10">
        <f t="shared" si="244"/>
        <v>0</v>
      </c>
      <c r="N157" s="10">
        <f t="shared" si="244"/>
        <v>0</v>
      </c>
      <c r="O157" s="10">
        <f t="shared" si="244"/>
        <v>0</v>
      </c>
      <c r="P157" s="10">
        <f t="shared" si="244"/>
        <v>0</v>
      </c>
      <c r="Q157" s="10">
        <f t="shared" si="244"/>
        <v>0</v>
      </c>
      <c r="R157" s="10">
        <f t="shared" si="244"/>
        <v>0</v>
      </c>
      <c r="S157" s="10">
        <f t="shared" si="244"/>
        <v>0</v>
      </c>
      <c r="T157" s="10">
        <f t="shared" ref="T157" si="245">SUM(T156)</f>
        <v>0</v>
      </c>
      <c r="U157" s="10">
        <f t="shared" si="244"/>
        <v>0</v>
      </c>
      <c r="V157" s="10">
        <f t="shared" si="244"/>
        <v>0</v>
      </c>
      <c r="W157" s="10">
        <f t="shared" si="244"/>
        <v>0</v>
      </c>
      <c r="X157" s="10">
        <f t="shared" si="244"/>
        <v>0</v>
      </c>
      <c r="Y157" s="10">
        <f t="shared" si="244"/>
        <v>0</v>
      </c>
      <c r="Z157" s="10">
        <f t="shared" si="244"/>
        <v>0</v>
      </c>
      <c r="AA157" s="10">
        <f t="shared" si="244"/>
        <v>0</v>
      </c>
      <c r="AB157" s="10">
        <f t="shared" si="244"/>
        <v>0</v>
      </c>
      <c r="AC157" s="10">
        <f t="shared" ref="AC157:AD157" si="246">SUM(AC156)</f>
        <v>0</v>
      </c>
      <c r="AD157" s="10">
        <f t="shared" si="246"/>
        <v>0</v>
      </c>
      <c r="AE157" s="10">
        <f t="shared" si="244"/>
        <v>0</v>
      </c>
      <c r="AF157" s="10">
        <f t="shared" si="244"/>
        <v>0</v>
      </c>
      <c r="AG157" s="10">
        <f t="shared" ref="AG157:AH157" si="247">SUM(AG156)</f>
        <v>2462999.5259916005</v>
      </c>
      <c r="AH157" s="10">
        <f t="shared" si="247"/>
        <v>1641999.6839944001</v>
      </c>
      <c r="AI157" s="10">
        <f t="shared" si="244"/>
        <v>0</v>
      </c>
      <c r="AJ157" s="10">
        <f t="shared" ref="AJ157:AO157" si="248">SUM(AJ156)</f>
        <v>0</v>
      </c>
      <c r="AK157" s="10">
        <f t="shared" si="248"/>
        <v>0</v>
      </c>
      <c r="AL157" s="10">
        <f t="shared" si="248"/>
        <v>0</v>
      </c>
      <c r="AM157" s="10">
        <f t="shared" si="248"/>
        <v>0</v>
      </c>
      <c r="AN157" s="10">
        <f t="shared" si="248"/>
        <v>0</v>
      </c>
      <c r="AO157" s="10">
        <f t="shared" si="248"/>
        <v>0</v>
      </c>
      <c r="AP157" s="10">
        <f t="shared" ref="AP157:BM157" si="249">SUM(AP156)</f>
        <v>0</v>
      </c>
      <c r="AQ157" s="10">
        <f t="shared" si="249"/>
        <v>0</v>
      </c>
      <c r="AR157" s="10">
        <f t="shared" si="249"/>
        <v>0</v>
      </c>
      <c r="AS157" s="10">
        <f t="shared" si="249"/>
        <v>0</v>
      </c>
      <c r="AT157" s="10">
        <f t="shared" si="249"/>
        <v>0</v>
      </c>
      <c r="AU157" s="10">
        <f t="shared" si="249"/>
        <v>0</v>
      </c>
      <c r="AV157" s="10">
        <f t="shared" si="249"/>
        <v>0</v>
      </c>
      <c r="AW157" s="366"/>
      <c r="AX157" s="4">
        <f t="shared" si="178"/>
        <v>0</v>
      </c>
      <c r="AY157" s="10">
        <f t="shared" si="249"/>
        <v>0</v>
      </c>
      <c r="AZ157" s="10">
        <f t="shared" si="249"/>
        <v>0</v>
      </c>
      <c r="BA157" s="10">
        <f t="shared" si="249"/>
        <v>0</v>
      </c>
      <c r="BB157" s="10">
        <f t="shared" si="249"/>
        <v>0</v>
      </c>
      <c r="BC157" s="10">
        <f t="shared" si="249"/>
        <v>0</v>
      </c>
      <c r="BD157" s="10">
        <f t="shared" si="249"/>
        <v>0</v>
      </c>
      <c r="BE157" s="10">
        <f t="shared" si="249"/>
        <v>0</v>
      </c>
      <c r="BF157" s="10">
        <f t="shared" si="249"/>
        <v>0</v>
      </c>
      <c r="BG157" s="10">
        <f t="shared" si="249"/>
        <v>0</v>
      </c>
      <c r="BH157" s="10">
        <f t="shared" si="249"/>
        <v>0</v>
      </c>
      <c r="BI157" s="10">
        <f t="shared" si="249"/>
        <v>0</v>
      </c>
      <c r="BJ157" s="10">
        <f t="shared" si="249"/>
        <v>0</v>
      </c>
      <c r="BK157" s="10">
        <f t="shared" si="249"/>
        <v>0</v>
      </c>
      <c r="BL157" s="10">
        <f t="shared" si="249"/>
        <v>0</v>
      </c>
      <c r="BM157" s="10">
        <f t="shared" si="249"/>
        <v>15919686.666172</v>
      </c>
      <c r="BO157" s="85"/>
      <c r="BS157" s="10" t="e">
        <f t="shared" ref="BS157" si="250">SUM(BS156)</f>
        <v>#REF!</v>
      </c>
      <c r="BT157" t="s">
        <v>220</v>
      </c>
    </row>
    <row r="158" spans="1:74">
      <c r="A158" s="9" t="s">
        <v>221</v>
      </c>
      <c r="B158" s="275">
        <f>SUM(B153:B154,B157)</f>
        <v>51821490.126199998</v>
      </c>
      <c r="C158" s="377">
        <f>SUM(C153:C154,C157)</f>
        <v>4104999.2099860003</v>
      </c>
      <c r="D158" s="377">
        <v>4005829.48</v>
      </c>
      <c r="E158" s="10">
        <f t="shared" ref="E158:F158" si="251">SUM(E153:E154,E157)</f>
        <v>0</v>
      </c>
      <c r="F158" s="10">
        <f t="shared" si="251"/>
        <v>0</v>
      </c>
      <c r="G158" s="10">
        <f t="shared" ref="G158:BC158" si="252">SUM(G153:G154,G157)</f>
        <v>0</v>
      </c>
      <c r="H158" s="10">
        <f t="shared" si="252"/>
        <v>0</v>
      </c>
      <c r="I158" s="10">
        <f t="shared" si="252"/>
        <v>0</v>
      </c>
      <c r="J158" s="10">
        <f t="shared" si="252"/>
        <v>0</v>
      </c>
      <c r="K158" s="10">
        <f t="shared" si="252"/>
        <v>0</v>
      </c>
      <c r="L158" s="10">
        <f t="shared" si="252"/>
        <v>0</v>
      </c>
      <c r="M158" s="10">
        <f t="shared" si="252"/>
        <v>0</v>
      </c>
      <c r="N158" s="10">
        <f t="shared" si="252"/>
        <v>0</v>
      </c>
      <c r="O158" s="10">
        <f t="shared" si="252"/>
        <v>0</v>
      </c>
      <c r="P158" s="10">
        <f t="shared" si="252"/>
        <v>0</v>
      </c>
      <c r="Q158" s="10">
        <f t="shared" si="252"/>
        <v>0</v>
      </c>
      <c r="R158" s="10">
        <f t="shared" si="252"/>
        <v>0</v>
      </c>
      <c r="S158" s="10">
        <f t="shared" si="252"/>
        <v>0</v>
      </c>
      <c r="T158" s="10">
        <f t="shared" ref="T158" si="253">SUM(T153:T154,T157)</f>
        <v>0</v>
      </c>
      <c r="U158" s="10">
        <f t="shared" si="252"/>
        <v>0</v>
      </c>
      <c r="V158" s="10">
        <f t="shared" si="252"/>
        <v>0</v>
      </c>
      <c r="W158" s="10">
        <f t="shared" si="252"/>
        <v>0</v>
      </c>
      <c r="X158" s="10">
        <f t="shared" si="252"/>
        <v>0</v>
      </c>
      <c r="Y158" s="10">
        <f t="shared" si="252"/>
        <v>0</v>
      </c>
      <c r="Z158" s="10">
        <f t="shared" si="252"/>
        <v>0</v>
      </c>
      <c r="AA158" s="10">
        <f t="shared" si="252"/>
        <v>0</v>
      </c>
      <c r="AB158" s="10">
        <f t="shared" si="252"/>
        <v>0</v>
      </c>
      <c r="AC158" s="10">
        <f t="shared" ref="AC158:AD158" si="254">SUM(AC153:AC154,AC157)</f>
        <v>0</v>
      </c>
      <c r="AD158" s="10">
        <f t="shared" si="254"/>
        <v>0</v>
      </c>
      <c r="AE158" s="10">
        <f t="shared" si="252"/>
        <v>0</v>
      </c>
      <c r="AF158" s="10">
        <f t="shared" si="252"/>
        <v>0</v>
      </c>
      <c r="AG158" s="10">
        <f t="shared" ref="AG158:AH158" si="255">SUM(AG153:AG154,AG157)</f>
        <v>2462999.5259916005</v>
      </c>
      <c r="AH158" s="10">
        <f t="shared" si="255"/>
        <v>1641999.6839944001</v>
      </c>
      <c r="AI158" s="10">
        <f t="shared" ref="AI158" si="256">SUM(AI153:AI154,AI157)</f>
        <v>0</v>
      </c>
      <c r="AJ158" s="10">
        <f t="shared" ref="AJ158:AO158" si="257">SUM(AJ153:AJ154,AJ157)</f>
        <v>0</v>
      </c>
      <c r="AK158" s="10">
        <f t="shared" si="257"/>
        <v>0</v>
      </c>
      <c r="AL158" s="10">
        <f t="shared" si="257"/>
        <v>0</v>
      </c>
      <c r="AM158" s="10">
        <f t="shared" si="257"/>
        <v>0</v>
      </c>
      <c r="AN158" s="10">
        <f t="shared" si="257"/>
        <v>0</v>
      </c>
      <c r="AO158" s="10">
        <f t="shared" si="257"/>
        <v>0</v>
      </c>
      <c r="AP158" s="10">
        <f t="shared" si="252"/>
        <v>0</v>
      </c>
      <c r="AQ158" s="10">
        <f t="shared" si="252"/>
        <v>0</v>
      </c>
      <c r="AR158" s="10">
        <f t="shared" si="252"/>
        <v>0</v>
      </c>
      <c r="AS158" s="10">
        <f t="shared" si="252"/>
        <v>0</v>
      </c>
      <c r="AT158" s="10">
        <f t="shared" si="252"/>
        <v>0</v>
      </c>
      <c r="AU158" s="10">
        <f t="shared" si="252"/>
        <v>0</v>
      </c>
      <c r="AV158" s="10">
        <f t="shared" si="252"/>
        <v>0</v>
      </c>
      <c r="AW158" s="366"/>
      <c r="AX158" s="4">
        <f t="shared" si="178"/>
        <v>23918027</v>
      </c>
      <c r="AY158" s="10">
        <f t="shared" si="252"/>
        <v>1748847</v>
      </c>
      <c r="AZ158" s="10">
        <f t="shared" si="252"/>
        <v>687259.4</v>
      </c>
      <c r="BA158" s="10">
        <f t="shared" si="252"/>
        <v>2994750.6</v>
      </c>
      <c r="BB158" s="10">
        <f t="shared" si="252"/>
        <v>34900</v>
      </c>
      <c r="BC158" s="10">
        <f t="shared" si="252"/>
        <v>636004</v>
      </c>
      <c r="BD158" s="10">
        <f t="shared" ref="BD158:BM158" si="258">SUM(BD153:BD154,BD157)</f>
        <v>524345</v>
      </c>
      <c r="BE158" s="10">
        <f t="shared" si="258"/>
        <v>72745</v>
      </c>
      <c r="BF158" s="10">
        <f t="shared" si="258"/>
        <v>1100311</v>
      </c>
      <c r="BG158" s="10">
        <f t="shared" si="258"/>
        <v>855571</v>
      </c>
      <c r="BH158" s="10">
        <f t="shared" si="258"/>
        <v>4566388</v>
      </c>
      <c r="BI158" s="10">
        <f t="shared" si="258"/>
        <v>9243555</v>
      </c>
      <c r="BJ158" s="10">
        <f t="shared" si="258"/>
        <v>980484</v>
      </c>
      <c r="BK158" s="10">
        <f t="shared" si="258"/>
        <v>246345</v>
      </c>
      <c r="BL158" s="10">
        <f t="shared" si="258"/>
        <v>226522</v>
      </c>
      <c r="BM158" s="10">
        <f t="shared" si="258"/>
        <v>111873372.02617201</v>
      </c>
      <c r="BO158" s="85"/>
      <c r="BS158" s="10" t="e">
        <f t="shared" ref="BS158" si="259">SUM(BS153:BS154,BS157)</f>
        <v>#REF!</v>
      </c>
      <c r="BT158" t="s">
        <v>221</v>
      </c>
    </row>
    <row r="159" spans="1:74">
      <c r="A159" s="11" t="s">
        <v>225</v>
      </c>
      <c r="B159" s="274">
        <f t="shared" ref="B159:S159" si="260">B24</f>
        <v>415766.22222222225</v>
      </c>
      <c r="C159" s="375">
        <f>SUM(E159:AV159)</f>
        <v>2915765.2222222215</v>
      </c>
      <c r="D159" s="375">
        <v>440915.11</v>
      </c>
      <c r="E159" s="8">
        <v>2500000</v>
      </c>
      <c r="F159" s="8">
        <v>0</v>
      </c>
      <c r="G159" s="8">
        <f t="shared" si="260"/>
        <v>102197.55555555556</v>
      </c>
      <c r="H159" s="8">
        <f t="shared" si="260"/>
        <v>64525.555555555555</v>
      </c>
      <c r="I159" s="8">
        <f t="shared" si="260"/>
        <v>12501.777777777779</v>
      </c>
      <c r="J159" s="8">
        <f t="shared" si="260"/>
        <v>15907.222222222223</v>
      </c>
      <c r="K159" s="8">
        <f t="shared" si="260"/>
        <v>7258.5555555555547</v>
      </c>
      <c r="L159" s="8">
        <f t="shared" si="260"/>
        <v>19513.666666666668</v>
      </c>
      <c r="M159" s="8">
        <f t="shared" si="260"/>
        <v>31422.222222222219</v>
      </c>
      <c r="N159" s="8">
        <f t="shared" si="260"/>
        <v>82767.222222222234</v>
      </c>
      <c r="O159" s="8">
        <f t="shared" si="260"/>
        <v>0</v>
      </c>
      <c r="P159" s="8">
        <f t="shared" si="260"/>
        <v>0</v>
      </c>
      <c r="Q159" s="8">
        <f t="shared" si="260"/>
        <v>0</v>
      </c>
      <c r="R159" s="8">
        <f t="shared" si="260"/>
        <v>0</v>
      </c>
      <c r="S159" s="8">
        <f t="shared" si="260"/>
        <v>0</v>
      </c>
      <c r="T159" s="8">
        <v>0</v>
      </c>
      <c r="U159" s="8">
        <f t="shared" ref="U159:AB159" si="261">U24</f>
        <v>0</v>
      </c>
      <c r="V159" s="8">
        <f t="shared" si="261"/>
        <v>0</v>
      </c>
      <c r="W159" s="8">
        <f t="shared" si="261"/>
        <v>0</v>
      </c>
      <c r="X159" s="8">
        <f t="shared" si="261"/>
        <v>0</v>
      </c>
      <c r="Y159" s="8">
        <f t="shared" si="261"/>
        <v>0</v>
      </c>
      <c r="Z159" s="8">
        <f t="shared" si="261"/>
        <v>0</v>
      </c>
      <c r="AA159" s="8">
        <f t="shared" si="261"/>
        <v>0</v>
      </c>
      <c r="AB159" s="8">
        <f t="shared" si="261"/>
        <v>0</v>
      </c>
      <c r="AC159" s="8">
        <f t="shared" ref="AC159:AD159" si="262">AC24</f>
        <v>4333.3333333333339</v>
      </c>
      <c r="AD159" s="8">
        <f t="shared" si="262"/>
        <v>1666.666666666667</v>
      </c>
      <c r="AE159" s="8">
        <f t="shared" ref="AE159:AV159" si="263">AE24</f>
        <v>1333.3333333333333</v>
      </c>
      <c r="AF159" s="8">
        <f t="shared" si="263"/>
        <v>555.55555555555554</v>
      </c>
      <c r="AG159" s="8">
        <f t="shared" si="263"/>
        <v>0</v>
      </c>
      <c r="AH159" s="8">
        <f t="shared" si="263"/>
        <v>0</v>
      </c>
      <c r="AI159" s="8">
        <f t="shared" si="263"/>
        <v>0</v>
      </c>
      <c r="AJ159" s="8">
        <f t="shared" si="263"/>
        <v>0</v>
      </c>
      <c r="AK159" s="8">
        <f t="shared" si="263"/>
        <v>0</v>
      </c>
      <c r="AL159" s="8">
        <f t="shared" si="263"/>
        <v>0</v>
      </c>
      <c r="AM159" s="8">
        <f t="shared" si="263"/>
        <v>0</v>
      </c>
      <c r="AN159" s="8">
        <f t="shared" si="263"/>
        <v>0</v>
      </c>
      <c r="AO159" s="8">
        <f t="shared" si="263"/>
        <v>0</v>
      </c>
      <c r="AP159" s="8">
        <f t="shared" si="263"/>
        <v>0</v>
      </c>
      <c r="AQ159" s="8">
        <f t="shared" si="263"/>
        <v>942.77777777777783</v>
      </c>
      <c r="AR159" s="8">
        <f t="shared" si="263"/>
        <v>30531.111111111113</v>
      </c>
      <c r="AS159" s="8">
        <f t="shared" si="263"/>
        <v>0</v>
      </c>
      <c r="AT159" s="8">
        <f t="shared" si="263"/>
        <v>40308.666666666664</v>
      </c>
      <c r="AU159" s="8">
        <f t="shared" si="263"/>
        <v>0</v>
      </c>
      <c r="AV159" s="8">
        <f t="shared" si="263"/>
        <v>0</v>
      </c>
      <c r="AW159" s="364"/>
      <c r="AX159" s="8">
        <f t="shared" si="178"/>
        <v>0</v>
      </c>
      <c r="AY159" s="8">
        <f t="shared" ref="AY159:BL159" si="264">AY24</f>
        <v>0</v>
      </c>
      <c r="AZ159" s="8">
        <f t="shared" si="264"/>
        <v>0</v>
      </c>
      <c r="BA159" s="8">
        <f t="shared" si="264"/>
        <v>0</v>
      </c>
      <c r="BB159" s="8">
        <f t="shared" si="264"/>
        <v>0</v>
      </c>
      <c r="BC159" s="8">
        <f t="shared" si="264"/>
        <v>0</v>
      </c>
      <c r="BD159" s="8">
        <f t="shared" si="264"/>
        <v>0</v>
      </c>
      <c r="BE159" s="8">
        <f t="shared" si="264"/>
        <v>0</v>
      </c>
      <c r="BF159" s="8">
        <f t="shared" si="264"/>
        <v>0</v>
      </c>
      <c r="BG159" s="8">
        <f t="shared" si="264"/>
        <v>0</v>
      </c>
      <c r="BH159" s="8">
        <f t="shared" si="264"/>
        <v>0</v>
      </c>
      <c r="BI159" s="8">
        <f t="shared" si="264"/>
        <v>0</v>
      </c>
      <c r="BJ159" s="8">
        <f t="shared" si="264"/>
        <v>0</v>
      </c>
      <c r="BK159" s="8">
        <f t="shared" si="264"/>
        <v>0</v>
      </c>
      <c r="BL159" s="8">
        <f t="shared" si="264"/>
        <v>0</v>
      </c>
      <c r="BM159" s="8">
        <f>SUM(B159:BL159)</f>
        <v>6688211.7766666673</v>
      </c>
      <c r="BN159" t="e">
        <f>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Proj.'!#REF!+'2026 12-month Proj.'!#REF!</f>
        <v>#REF!</v>
      </c>
      <c r="BO159" s="85" t="e">
        <f>BM159-BN159</f>
        <v>#REF!</v>
      </c>
      <c r="BS159" s="8" t="e">
        <f>SUM(B159:BL159)-#REF!-AV159-AP159-SUM(AY159:BL159)</f>
        <v>#REF!</v>
      </c>
      <c r="BT159" t="s">
        <v>225</v>
      </c>
    </row>
    <row r="160" spans="1:74">
      <c r="A160" s="12" t="s">
        <v>226</v>
      </c>
      <c r="B160" s="275">
        <f>SUM(B40,B44,B54,B57,B61,B66,B70,B81,B85,B89:B90,B94,B99:B100,B103,B109,B114,B120,B124:B126,B131,B146:B151,B158,B159:B159)</f>
        <v>59885786.911108449</v>
      </c>
      <c r="C160" s="378">
        <f>SUM(C40,C44,C54,C57,C61,C66,C70,C81,C85,C89:C90,C94,C99:C100,C103,C109,C114,C120,C124:C126,C131,C146:C151,C158,C159)</f>
        <v>14942674.134985957</v>
      </c>
      <c r="D160" s="378">
        <v>12023399.84</v>
      </c>
      <c r="E160" s="10">
        <f>SUM(E40,E44,E54,E57,E61,E66,E70,E81,E85,E89:E90,E94,E99:E100,E103,E109,E114,E120,E124:E126,E131,E146:E151,E158,E159:E159)-1261</f>
        <v>3200000.0048758383</v>
      </c>
      <c r="F160" s="10">
        <f>SUM(F40,F44,F54,F57,F61,F66,F70,F81,F85,F89:F90,F94,F99:F100,F103,F109,F114,F120,F124:F126,F131,F146:F151,F158,F159:F159)-1261</f>
        <v>114704.83459962091</v>
      </c>
      <c r="G160" s="10">
        <f t="shared" ref="G160:AV160" si="265">SUM(G40,G44,G54,G57,G61,G66,G70,G81,G85,G89:G90,G94,G99:G100,G103,G109,G114,G120,G124:G126,G131,G146:G151,G158,G159:G159)</f>
        <v>1021975.5584696759</v>
      </c>
      <c r="H160" s="10">
        <f t="shared" si="265"/>
        <v>645255.55935868178</v>
      </c>
      <c r="I160" s="10">
        <f t="shared" si="265"/>
        <v>127337.78276218213</v>
      </c>
      <c r="J160" s="10">
        <f t="shared" si="265"/>
        <v>159072.21936321928</v>
      </c>
      <c r="K160" s="10">
        <f t="shared" si="265"/>
        <v>72327.431563243532</v>
      </c>
      <c r="L160" s="10">
        <f t="shared" si="265"/>
        <v>195136.66331607575</v>
      </c>
      <c r="M160" s="10">
        <f t="shared" si="265"/>
        <v>311103.70695266163</v>
      </c>
      <c r="N160" s="10">
        <f t="shared" si="265"/>
        <v>827672.21953699575</v>
      </c>
      <c r="O160" s="10">
        <f t="shared" si="265"/>
        <v>215459.99592551726</v>
      </c>
      <c r="P160" s="10">
        <f t="shared" si="265"/>
        <v>25169.002488406128</v>
      </c>
      <c r="Q160" s="10">
        <f t="shared" si="265"/>
        <v>181668.67934877574</v>
      </c>
      <c r="R160" s="10">
        <f t="shared" si="265"/>
        <v>343552.2065980538</v>
      </c>
      <c r="S160" s="10">
        <f t="shared" si="265"/>
        <v>122949.48976315573</v>
      </c>
      <c r="T160" s="10">
        <f t="shared" si="265"/>
        <v>20293.546382947188</v>
      </c>
      <c r="U160" s="10">
        <f t="shared" si="265"/>
        <v>89749.999194229866</v>
      </c>
      <c r="V160" s="10">
        <f t="shared" si="265"/>
        <v>68070.9961658924</v>
      </c>
      <c r="W160" s="10">
        <f t="shared" si="265"/>
        <v>78002.002721848316</v>
      </c>
      <c r="X160" s="10">
        <f t="shared" si="265"/>
        <v>193364.73728406333</v>
      </c>
      <c r="Y160" s="10">
        <f t="shared" si="265"/>
        <v>33791.997173468932</v>
      </c>
      <c r="Z160" s="10">
        <f t="shared" si="265"/>
        <v>65256.001279162527</v>
      </c>
      <c r="AA160" s="10">
        <f t="shared" si="265"/>
        <v>28700.002478335453</v>
      </c>
      <c r="AB160" s="10">
        <f t="shared" si="265"/>
        <v>410395.2556158544</v>
      </c>
      <c r="AC160" s="10">
        <f t="shared" si="265"/>
        <v>43333.329921838857</v>
      </c>
      <c r="AD160" s="10">
        <f t="shared" si="265"/>
        <v>11756.372762858802</v>
      </c>
      <c r="AE160" s="10">
        <f t="shared" si="265"/>
        <v>13085.024026352392</v>
      </c>
      <c r="AF160" s="10">
        <f t="shared" si="265"/>
        <v>5555.5506989330815</v>
      </c>
      <c r="AG160" s="10">
        <f t="shared" si="265"/>
        <v>2919706.2977593639</v>
      </c>
      <c r="AH160" s="10">
        <f t="shared" si="265"/>
        <v>1897359.7831900308</v>
      </c>
      <c r="AI160" s="10">
        <f t="shared" si="265"/>
        <v>66849.998793959327</v>
      </c>
      <c r="AJ160" s="10">
        <f t="shared" si="265"/>
        <v>9492</v>
      </c>
      <c r="AK160" s="10">
        <f t="shared" si="265"/>
        <v>9690.0021227741381</v>
      </c>
      <c r="AL160" s="10">
        <f t="shared" si="265"/>
        <v>10365.996971883791</v>
      </c>
      <c r="AM160" s="10">
        <f t="shared" si="265"/>
        <v>22167.998491096536</v>
      </c>
      <c r="AN160" s="10">
        <f t="shared" si="265"/>
        <v>14361.995396438619</v>
      </c>
      <c r="AO160" s="10">
        <f t="shared" si="265"/>
        <v>10000</v>
      </c>
      <c r="AP160" s="10">
        <f t="shared" si="265"/>
        <v>76523.266666666663</v>
      </c>
      <c r="AQ160" s="10">
        <f t="shared" si="265"/>
        <v>7626.1090892765278</v>
      </c>
      <c r="AR160" s="10">
        <f t="shared" si="265"/>
        <v>322468.18320100126</v>
      </c>
      <c r="AS160" s="10">
        <f t="shared" si="265"/>
        <v>105410.10477181395</v>
      </c>
      <c r="AT160" s="10">
        <f t="shared" si="265"/>
        <v>403086.66346254403</v>
      </c>
      <c r="AU160" s="10">
        <f t="shared" si="265"/>
        <v>204080.31260981728</v>
      </c>
      <c r="AV160" s="10">
        <f t="shared" si="265"/>
        <v>236255.85</v>
      </c>
      <c r="AW160" s="366"/>
      <c r="AX160" s="4">
        <f t="shared" si="178"/>
        <v>23918027</v>
      </c>
      <c r="AY160" s="10">
        <f t="shared" ref="AY160:BM160" si="266">SUM(AY40,AY44,AY54,AY57,AY61,AY66,AY70,AY81,AY85,AY89:AY90,AY94,AY99:AY100,AY103,AY109,AY114,AY120,AY124:AY126,AY131,AY146:AY151,AY158,AY159:AY159)</f>
        <v>1748847</v>
      </c>
      <c r="AZ160" s="10">
        <f t="shared" si="266"/>
        <v>687259.4</v>
      </c>
      <c r="BA160" s="10">
        <f t="shared" si="266"/>
        <v>2994750.6</v>
      </c>
      <c r="BB160" s="10">
        <f t="shared" si="266"/>
        <v>34900</v>
      </c>
      <c r="BC160" s="10">
        <f t="shared" si="266"/>
        <v>636004</v>
      </c>
      <c r="BD160" s="10">
        <f t="shared" si="266"/>
        <v>524345</v>
      </c>
      <c r="BE160" s="10">
        <f t="shared" si="266"/>
        <v>72745</v>
      </c>
      <c r="BF160" s="10">
        <f t="shared" si="266"/>
        <v>1100311</v>
      </c>
      <c r="BG160" s="10">
        <f t="shared" si="266"/>
        <v>855571</v>
      </c>
      <c r="BH160" s="10">
        <f t="shared" si="266"/>
        <v>4566388</v>
      </c>
      <c r="BI160" s="10">
        <f t="shared" si="266"/>
        <v>9243555</v>
      </c>
      <c r="BJ160" s="10">
        <f t="shared" si="266"/>
        <v>980484</v>
      </c>
      <c r="BK160" s="10">
        <f t="shared" si="266"/>
        <v>246345</v>
      </c>
      <c r="BL160" s="10">
        <f t="shared" si="266"/>
        <v>226522</v>
      </c>
      <c r="BM160" s="10">
        <f t="shared" si="266"/>
        <v>132501169.42982149</v>
      </c>
      <c r="BS160" s="10" t="e">
        <f>SUM(BS40,BS44,BS54,BS57,BS61,BS66,BS70,BS81,BS85,BS89:BS90,BS94,BS99:BS100,BS103,BS109,BS114,BS120,BS124:BS126,BS131,BS146:BS151,BS158,BS159:BS159)</f>
        <v>#REF!</v>
      </c>
      <c r="BT160" t="s">
        <v>226</v>
      </c>
    </row>
    <row r="161" spans="1:82">
      <c r="A161" s="18" t="s">
        <v>227</v>
      </c>
      <c r="B161" s="276">
        <f>B34-B160</f>
        <v>-47534799.752219558</v>
      </c>
      <c r="C161" s="385">
        <f>C34-C160</f>
        <v>503017.85390293412</v>
      </c>
      <c r="D161" s="385">
        <v>466946.26</v>
      </c>
      <c r="E161" s="14">
        <f t="shared" ref="E161:F161" si="267">E34-E160</f>
        <v>-4.875838290899992E-3</v>
      </c>
      <c r="F161" s="14">
        <f t="shared" si="267"/>
        <v>-4.5996209228178486E-3</v>
      </c>
      <c r="G161" s="14">
        <f t="shared" ref="G161:AV161" si="268">G34-G160</f>
        <v>-2.9141204431653023E-3</v>
      </c>
      <c r="H161" s="14">
        <f t="shared" si="268"/>
        <v>-3.8031262811273336E-3</v>
      </c>
      <c r="I161" s="14">
        <f t="shared" si="268"/>
        <v>-4.9844043533084914E-3</v>
      </c>
      <c r="J161" s="14">
        <f t="shared" si="268"/>
        <v>2.8590029396582395E-3</v>
      </c>
      <c r="K161" s="14">
        <f t="shared" si="268"/>
        <v>258.12399231203017</v>
      </c>
      <c r="L161" s="14">
        <f t="shared" si="268"/>
        <v>3.3505909086670727E-3</v>
      </c>
      <c r="M161" s="14">
        <f t="shared" si="268"/>
        <v>3118.515269560623</v>
      </c>
      <c r="N161" s="14">
        <f t="shared" si="268"/>
        <v>2.6852265000343323E-3</v>
      </c>
      <c r="O161" s="14">
        <f t="shared" si="268"/>
        <v>4.0744827419985086E-3</v>
      </c>
      <c r="P161" s="14">
        <f t="shared" si="268"/>
        <v>-2.4884061276679859E-3</v>
      </c>
      <c r="Q161" s="14">
        <f t="shared" si="268"/>
        <v>3138.0706512242614</v>
      </c>
      <c r="R161" s="14">
        <f t="shared" si="268"/>
        <v>6281.783401946188</v>
      </c>
      <c r="S161" s="14">
        <f t="shared" si="268"/>
        <v>748.65023684427433</v>
      </c>
      <c r="T161" s="14">
        <f t="shared" si="268"/>
        <v>974.36361705281161</v>
      </c>
      <c r="U161" s="14">
        <f t="shared" si="268"/>
        <v>8.0577013432048261E-4</v>
      </c>
      <c r="V161" s="14">
        <f t="shared" si="268"/>
        <v>3.8341075996868312E-3</v>
      </c>
      <c r="W161" s="14">
        <f t="shared" si="268"/>
        <v>-2.7218483155593276E-3</v>
      </c>
      <c r="X161" s="14">
        <f t="shared" si="268"/>
        <v>2.7159366582054645E-3</v>
      </c>
      <c r="Y161" s="14">
        <f t="shared" si="268"/>
        <v>2.8265310684219003E-3</v>
      </c>
      <c r="Z161" s="14">
        <f t="shared" si="268"/>
        <v>-1.2791625267709605E-3</v>
      </c>
      <c r="AA161" s="14">
        <f t="shared" si="268"/>
        <v>-2.4783354529063217E-3</v>
      </c>
      <c r="AB161" s="14">
        <f t="shared" si="268"/>
        <v>4.3841456063091755E-3</v>
      </c>
      <c r="AC161" s="14">
        <f t="shared" si="268"/>
        <v>3.4114944792236201E-3</v>
      </c>
      <c r="AD161" s="14">
        <f t="shared" si="268"/>
        <v>4910.2939038078657</v>
      </c>
      <c r="AE161" s="14">
        <f t="shared" si="268"/>
        <v>248.30930698094198</v>
      </c>
      <c r="AF161" s="14">
        <f t="shared" si="268"/>
        <v>4.8566224741080077E-3</v>
      </c>
      <c r="AG161" s="14">
        <f t="shared" si="268"/>
        <v>128711.70224063611</v>
      </c>
      <c r="AH161" s="14">
        <f t="shared" si="268"/>
        <v>242097.09680996905</v>
      </c>
      <c r="AI161" s="14">
        <f t="shared" si="268"/>
        <v>1.2060406734235585E-3</v>
      </c>
      <c r="AJ161" s="14">
        <f t="shared" si="268"/>
        <v>0</v>
      </c>
      <c r="AK161" s="14">
        <f t="shared" si="268"/>
        <v>-2.1227741381153464E-3</v>
      </c>
      <c r="AL161" s="14">
        <f t="shared" si="268"/>
        <v>3.0281162089522695E-3</v>
      </c>
      <c r="AM161" s="14">
        <f t="shared" si="268"/>
        <v>1.5089034641277976E-3</v>
      </c>
      <c r="AN161" s="14">
        <f t="shared" si="268"/>
        <v>4.603561381372856E-3</v>
      </c>
      <c r="AO161" s="14">
        <f t="shared" si="268"/>
        <v>0</v>
      </c>
      <c r="AP161" s="14">
        <f t="shared" si="268"/>
        <v>0</v>
      </c>
      <c r="AQ161" s="14">
        <f t="shared" si="268"/>
        <v>1801.6686885012496</v>
      </c>
      <c r="AR161" s="14">
        <f t="shared" si="268"/>
        <v>-157.07208989013452</v>
      </c>
      <c r="AS161" s="14">
        <f t="shared" si="268"/>
        <v>-288.10477181394526</v>
      </c>
      <c r="AT161" s="14">
        <f t="shared" si="268"/>
        <v>3.2041226513683796E-3</v>
      </c>
      <c r="AU161" s="14">
        <f t="shared" si="268"/>
        <v>95919.68739018272</v>
      </c>
      <c r="AV161" s="14">
        <f t="shared" si="268"/>
        <v>17744.149999999994</v>
      </c>
      <c r="AW161" s="366"/>
      <c r="AX161" s="8">
        <f t="shared" si="178"/>
        <v>0</v>
      </c>
      <c r="AY161" s="14">
        <f t="shared" ref="AY161:BL161" si="269">AY34-AY160</f>
        <v>0</v>
      </c>
      <c r="AZ161" s="14">
        <f t="shared" si="269"/>
        <v>0</v>
      </c>
      <c r="BA161" s="14">
        <f t="shared" si="269"/>
        <v>0</v>
      </c>
      <c r="BB161" s="14">
        <f t="shared" si="269"/>
        <v>0</v>
      </c>
      <c r="BC161" s="14">
        <f t="shared" si="269"/>
        <v>0</v>
      </c>
      <c r="BD161" s="14">
        <f t="shared" si="269"/>
        <v>0</v>
      </c>
      <c r="BE161" s="14">
        <f t="shared" si="269"/>
        <v>0</v>
      </c>
      <c r="BF161" s="14">
        <f t="shared" si="269"/>
        <v>0</v>
      </c>
      <c r="BG161" s="14">
        <f t="shared" si="269"/>
        <v>0</v>
      </c>
      <c r="BH161" s="14">
        <f t="shared" si="269"/>
        <v>0</v>
      </c>
      <c r="BI161" s="14">
        <f t="shared" si="269"/>
        <v>0</v>
      </c>
      <c r="BJ161" s="14">
        <f t="shared" si="269"/>
        <v>0</v>
      </c>
      <c r="BK161" s="14">
        <f t="shared" si="269"/>
        <v>0</v>
      </c>
      <c r="BL161" s="14">
        <f t="shared" si="269"/>
        <v>0</v>
      </c>
      <c r="BM161" s="14">
        <f>(BM34-BM160)</f>
        <v>-28505917.78315483</v>
      </c>
      <c r="BS161" s="174" t="e">
        <f>(BS34-BS160)</f>
        <v>#REF!</v>
      </c>
      <c r="BT161" s="119" t="s">
        <v>227</v>
      </c>
    </row>
    <row r="162" spans="1:82">
      <c r="A162" s="18" t="s">
        <v>228</v>
      </c>
      <c r="B162" s="276">
        <f t="shared" ref="B162:BC162" si="270">B161+0</f>
        <v>-47534799.752219558</v>
      </c>
      <c r="C162" s="385">
        <f t="shared" si="270"/>
        <v>503017.85390293412</v>
      </c>
      <c r="D162" s="385">
        <v>466946.26</v>
      </c>
      <c r="E162" s="14">
        <f t="shared" ref="E162:F162" si="271">E161+0</f>
        <v>-4.875838290899992E-3</v>
      </c>
      <c r="F162" s="14">
        <f t="shared" si="271"/>
        <v>-4.5996209228178486E-3</v>
      </c>
      <c r="G162" s="14">
        <f t="shared" si="270"/>
        <v>-2.9141204431653023E-3</v>
      </c>
      <c r="H162" s="14">
        <f t="shared" si="270"/>
        <v>-3.8031262811273336E-3</v>
      </c>
      <c r="I162" s="14">
        <f t="shared" si="270"/>
        <v>-4.9844043533084914E-3</v>
      </c>
      <c r="J162" s="14">
        <f t="shared" si="270"/>
        <v>2.8590029396582395E-3</v>
      </c>
      <c r="K162" s="14">
        <f>K161+0</f>
        <v>258.12399231203017</v>
      </c>
      <c r="L162" s="14">
        <f t="shared" si="270"/>
        <v>3.3505909086670727E-3</v>
      </c>
      <c r="M162" s="14">
        <f t="shared" si="270"/>
        <v>3118.515269560623</v>
      </c>
      <c r="N162" s="14">
        <f t="shared" si="270"/>
        <v>2.6852265000343323E-3</v>
      </c>
      <c r="O162" s="14">
        <f t="shared" si="270"/>
        <v>4.0744827419985086E-3</v>
      </c>
      <c r="P162" s="14">
        <f t="shared" si="270"/>
        <v>-2.4884061276679859E-3</v>
      </c>
      <c r="Q162" s="14">
        <f t="shared" si="270"/>
        <v>3138.0706512242614</v>
      </c>
      <c r="R162" s="14">
        <f t="shared" si="270"/>
        <v>6281.783401946188</v>
      </c>
      <c r="S162" s="14">
        <f t="shared" si="270"/>
        <v>748.65023684427433</v>
      </c>
      <c r="T162" s="14">
        <f t="shared" si="270"/>
        <v>974.36361705281161</v>
      </c>
      <c r="U162" s="14">
        <f t="shared" si="270"/>
        <v>8.0577013432048261E-4</v>
      </c>
      <c r="V162" s="14">
        <f t="shared" si="270"/>
        <v>3.8341075996868312E-3</v>
      </c>
      <c r="W162" s="14">
        <f t="shared" si="270"/>
        <v>-2.7218483155593276E-3</v>
      </c>
      <c r="X162" s="14">
        <f t="shared" si="270"/>
        <v>2.7159366582054645E-3</v>
      </c>
      <c r="Y162" s="14">
        <f t="shared" si="270"/>
        <v>2.8265310684219003E-3</v>
      </c>
      <c r="Z162" s="14">
        <f t="shared" si="270"/>
        <v>-1.2791625267709605E-3</v>
      </c>
      <c r="AA162" s="14">
        <f t="shared" si="270"/>
        <v>-2.4783354529063217E-3</v>
      </c>
      <c r="AB162" s="14">
        <f t="shared" si="270"/>
        <v>4.3841456063091755E-3</v>
      </c>
      <c r="AC162" s="14">
        <f t="shared" ref="AC162:AD162" si="272">AC161+0</f>
        <v>3.4114944792236201E-3</v>
      </c>
      <c r="AD162" s="14">
        <f t="shared" si="272"/>
        <v>4910.2939038078657</v>
      </c>
      <c r="AE162" s="14">
        <f t="shared" si="270"/>
        <v>248.30930698094198</v>
      </c>
      <c r="AF162" s="14">
        <f t="shared" si="270"/>
        <v>4.8566224741080077E-3</v>
      </c>
      <c r="AG162" s="14">
        <f t="shared" ref="AG162:AH162" si="273">AG161+0</f>
        <v>128711.70224063611</v>
      </c>
      <c r="AH162" s="14">
        <f t="shared" si="273"/>
        <v>242097.09680996905</v>
      </c>
      <c r="AI162" s="14">
        <f t="shared" ref="AI162" si="274">AI161+0</f>
        <v>1.2060406734235585E-3</v>
      </c>
      <c r="AJ162" s="14">
        <f t="shared" ref="AJ162:AO162" si="275">AJ161+0</f>
        <v>0</v>
      </c>
      <c r="AK162" s="14">
        <f t="shared" si="275"/>
        <v>-2.1227741381153464E-3</v>
      </c>
      <c r="AL162" s="14">
        <f t="shared" si="275"/>
        <v>3.0281162089522695E-3</v>
      </c>
      <c r="AM162" s="14">
        <f t="shared" si="275"/>
        <v>1.5089034641277976E-3</v>
      </c>
      <c r="AN162" s="14">
        <f t="shared" si="275"/>
        <v>4.603561381372856E-3</v>
      </c>
      <c r="AO162" s="14">
        <f t="shared" si="275"/>
        <v>0</v>
      </c>
      <c r="AP162" s="14">
        <f t="shared" si="270"/>
        <v>0</v>
      </c>
      <c r="AQ162" s="14">
        <f t="shared" si="270"/>
        <v>1801.6686885012496</v>
      </c>
      <c r="AR162" s="14">
        <f t="shared" si="270"/>
        <v>-157.07208989013452</v>
      </c>
      <c r="AS162" s="14">
        <f t="shared" si="270"/>
        <v>-288.10477181394526</v>
      </c>
      <c r="AT162" s="14">
        <f t="shared" si="270"/>
        <v>3.2041226513683796E-3</v>
      </c>
      <c r="AU162" s="14">
        <f t="shared" si="270"/>
        <v>95919.68739018272</v>
      </c>
      <c r="AV162" s="14">
        <f t="shared" si="270"/>
        <v>17744.149999999994</v>
      </c>
      <c r="AW162" s="366"/>
      <c r="AX162" s="8">
        <f t="shared" si="178"/>
        <v>0</v>
      </c>
      <c r="AY162" s="14">
        <f t="shared" si="270"/>
        <v>0</v>
      </c>
      <c r="AZ162" s="14">
        <f t="shared" si="270"/>
        <v>0</v>
      </c>
      <c r="BA162" s="14">
        <f t="shared" si="270"/>
        <v>0</v>
      </c>
      <c r="BB162" s="14">
        <f t="shared" si="270"/>
        <v>0</v>
      </c>
      <c r="BC162" s="14">
        <f t="shared" si="270"/>
        <v>0</v>
      </c>
      <c r="BD162" s="14">
        <f t="shared" ref="BD162:BM162" si="276">BD161+0</f>
        <v>0</v>
      </c>
      <c r="BE162" s="14">
        <f t="shared" si="276"/>
        <v>0</v>
      </c>
      <c r="BF162" s="14">
        <f t="shared" si="276"/>
        <v>0</v>
      </c>
      <c r="BG162" s="14">
        <f t="shared" si="276"/>
        <v>0</v>
      </c>
      <c r="BH162" s="14">
        <f t="shared" si="276"/>
        <v>0</v>
      </c>
      <c r="BI162" s="14">
        <f t="shared" si="276"/>
        <v>0</v>
      </c>
      <c r="BJ162" s="14">
        <f t="shared" si="276"/>
        <v>0</v>
      </c>
      <c r="BK162" s="14">
        <f t="shared" si="276"/>
        <v>0</v>
      </c>
      <c r="BL162" s="14">
        <f t="shared" si="276"/>
        <v>0</v>
      </c>
      <c r="BM162" s="14">
        <f t="shared" si="276"/>
        <v>-28505917.78315483</v>
      </c>
      <c r="BS162" s="174" t="e">
        <f t="shared" ref="BS162" si="277">BS161+0</f>
        <v>#REF!</v>
      </c>
      <c r="BT162" s="119" t="s">
        <v>228</v>
      </c>
      <c r="BU162" s="119" t="s">
        <v>642</v>
      </c>
    </row>
    <row r="163" spans="1:82">
      <c r="C163" s="236"/>
      <c r="D163" s="236"/>
      <c r="AW163" s="372"/>
    </row>
    <row r="164" spans="1:82" hidden="1">
      <c r="B164" s="233"/>
      <c r="C164" s="233"/>
      <c r="D164" s="233"/>
      <c r="AW164" s="372"/>
      <c r="AY164">
        <v>6751017.7300000004</v>
      </c>
      <c r="BM164" s="85"/>
      <c r="BS164" s="85"/>
      <c r="CD164" s="21">
        <f>'June 2024 YTD'!BZ150*2</f>
        <v>890468.91999999434</v>
      </c>
    </row>
    <row r="165" spans="1:82" hidden="1">
      <c r="AY165" s="85">
        <f>AY164-AV160</f>
        <v>6514761.8800000008</v>
      </c>
    </row>
    <row r="166" spans="1:82" hidden="1">
      <c r="A166" s="20" t="s">
        <v>329</v>
      </c>
      <c r="G166" t="s">
        <v>643</v>
      </c>
      <c r="CD166" s="21">
        <f>BM162-CD164</f>
        <v>-29396386.703154825</v>
      </c>
    </row>
    <row r="167" spans="1:82" hidden="1">
      <c r="A167" s="20" t="s">
        <v>330</v>
      </c>
      <c r="G167">
        <v>378.12</v>
      </c>
      <c r="H167">
        <v>281.42</v>
      </c>
      <c r="I167">
        <v>54.23</v>
      </c>
      <c r="J167">
        <v>54.56</v>
      </c>
      <c r="K167">
        <v>30.2</v>
      </c>
      <c r="L167">
        <v>77.64</v>
      </c>
      <c r="M167">
        <v>139.46</v>
      </c>
      <c r="N167">
        <v>301.11</v>
      </c>
      <c r="O167">
        <v>136.38999999999999</v>
      </c>
      <c r="P167">
        <v>23.47</v>
      </c>
      <c r="Q167">
        <v>94.26</v>
      </c>
      <c r="R167">
        <v>170.15</v>
      </c>
      <c r="S167">
        <v>42.11</v>
      </c>
      <c r="T167">
        <v>10.99</v>
      </c>
      <c r="U167">
        <v>45.51</v>
      </c>
      <c r="V167">
        <v>35.82</v>
      </c>
      <c r="W167">
        <v>41.69</v>
      </c>
      <c r="X167">
        <v>97.99</v>
      </c>
      <c r="Y167">
        <v>17.84</v>
      </c>
      <c r="Z167">
        <v>34.06</v>
      </c>
      <c r="AA167">
        <v>14.74</v>
      </c>
      <c r="AB167">
        <v>198.01</v>
      </c>
      <c r="AE167">
        <v>5.95</v>
      </c>
      <c r="AF167">
        <v>2.1800000000000002</v>
      </c>
      <c r="AG167">
        <v>257.11</v>
      </c>
      <c r="AH167">
        <v>90.81</v>
      </c>
      <c r="AI167">
        <v>20.27</v>
      </c>
      <c r="AJ167">
        <v>4.93</v>
      </c>
      <c r="AK167">
        <v>5.16</v>
      </c>
      <c r="AL167">
        <v>5.5</v>
      </c>
      <c r="AM167">
        <v>28.44</v>
      </c>
      <c r="AN167">
        <v>7.42</v>
      </c>
      <c r="AO167">
        <v>0</v>
      </c>
      <c r="AP167">
        <v>0</v>
      </c>
      <c r="AQ167">
        <v>0</v>
      </c>
      <c r="AR167">
        <v>114.35</v>
      </c>
      <c r="AS167">
        <v>31.57</v>
      </c>
      <c r="AT167">
        <v>141.76</v>
      </c>
      <c r="AU167">
        <v>0</v>
      </c>
      <c r="AV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 s="123">
        <f>SUM(G167:BL167)</f>
        <v>2995.2199999999993</v>
      </c>
    </row>
    <row r="168" spans="1:82" hidden="1">
      <c r="A168" s="20" t="s">
        <v>331</v>
      </c>
      <c r="E168" s="123"/>
      <c r="F168" s="123"/>
      <c r="G168" s="123">
        <v>8960.89</v>
      </c>
      <c r="H168" s="123">
        <v>6890.96</v>
      </c>
      <c r="I168" s="123">
        <v>1327.84</v>
      </c>
      <c r="J168" s="123">
        <v>1335.97</v>
      </c>
      <c r="K168" s="123">
        <v>739.52</v>
      </c>
      <c r="L168" s="123">
        <v>1901.15</v>
      </c>
      <c r="M168" s="123">
        <v>3414.8</v>
      </c>
      <c r="N168" s="123">
        <v>7373.01</v>
      </c>
      <c r="O168" s="123">
        <v>3339.8</v>
      </c>
      <c r="P168" s="123">
        <v>574.74</v>
      </c>
      <c r="Q168" s="123">
        <v>2308.12</v>
      </c>
      <c r="R168" s="123">
        <v>4166.3500000000004</v>
      </c>
      <c r="S168" s="123">
        <v>1031.0899999999999</v>
      </c>
      <c r="T168" s="123">
        <v>269.12</v>
      </c>
      <c r="U168" s="123">
        <v>1114.3499999999999</v>
      </c>
      <c r="V168" s="123">
        <v>877.06</v>
      </c>
      <c r="W168" s="123">
        <v>1020.75</v>
      </c>
      <c r="X168" s="123">
        <v>2399.39</v>
      </c>
      <c r="Y168" s="123">
        <v>436.85</v>
      </c>
      <c r="Z168" s="123">
        <v>834.12</v>
      </c>
      <c r="AA168" s="123">
        <v>360.85</v>
      </c>
      <c r="AB168" s="123">
        <v>4848.54</v>
      </c>
      <c r="AC168" s="123"/>
      <c r="AD168" s="123"/>
      <c r="AE168" s="123">
        <v>145.63</v>
      </c>
      <c r="AF168" s="123">
        <v>53.35</v>
      </c>
      <c r="AG168" s="123">
        <v>6295.65</v>
      </c>
      <c r="AH168" s="123">
        <v>2223.67</v>
      </c>
      <c r="AI168" s="123">
        <v>496.45</v>
      </c>
      <c r="AJ168" s="123">
        <v>120.7</v>
      </c>
      <c r="AK168" s="123">
        <v>126.32</v>
      </c>
      <c r="AL168" s="123">
        <v>134.74</v>
      </c>
      <c r="AM168" s="123">
        <v>696.31</v>
      </c>
      <c r="AN168" s="123">
        <v>181.64</v>
      </c>
      <c r="AO168" s="123">
        <v>0</v>
      </c>
      <c r="AP168" s="123">
        <v>0</v>
      </c>
      <c r="AQ168" s="123">
        <v>0</v>
      </c>
      <c r="AR168" s="123">
        <v>2800.07</v>
      </c>
      <c r="AS168" s="123">
        <v>773.15</v>
      </c>
      <c r="AT168" s="123">
        <v>3471.24</v>
      </c>
      <c r="AU168" s="123">
        <v>298.01</v>
      </c>
      <c r="AV168" s="123">
        <v>0</v>
      </c>
      <c r="AW168" s="123"/>
      <c r="AX168" s="123"/>
      <c r="AY168" s="123">
        <v>0</v>
      </c>
      <c r="AZ168" s="123">
        <v>0</v>
      </c>
      <c r="BA168" s="123">
        <v>0</v>
      </c>
      <c r="BB168" s="123">
        <v>0</v>
      </c>
      <c r="BC168" s="123">
        <v>0</v>
      </c>
      <c r="BD168" s="123">
        <v>0</v>
      </c>
      <c r="BE168" s="123">
        <v>0</v>
      </c>
      <c r="BF168" s="123">
        <v>0</v>
      </c>
      <c r="BG168" s="123">
        <v>0</v>
      </c>
      <c r="BH168" s="123">
        <v>0</v>
      </c>
      <c r="BI168" s="123">
        <v>0</v>
      </c>
      <c r="BJ168" s="123">
        <v>0</v>
      </c>
      <c r="BK168" s="123">
        <v>0</v>
      </c>
      <c r="BL168" s="123">
        <v>0</v>
      </c>
      <c r="BM168" s="123">
        <f>SUM(G168:BL168)</f>
        <v>73342.199999999983</v>
      </c>
    </row>
    <row r="169" spans="1:82" hidden="1">
      <c r="A169" s="20" t="s">
        <v>332</v>
      </c>
      <c r="E169" s="123"/>
      <c r="F169" s="123"/>
      <c r="G169" s="123">
        <f>G168-G167</f>
        <v>8582.7699999999986</v>
      </c>
      <c r="H169" s="123">
        <f t="shared" ref="H169:BL169" si="278">H168-H167</f>
        <v>6609.54</v>
      </c>
      <c r="I169" s="123">
        <f t="shared" si="278"/>
        <v>1273.6099999999999</v>
      </c>
      <c r="J169" s="123">
        <f t="shared" si="278"/>
        <v>1281.4100000000001</v>
      </c>
      <c r="K169" s="123">
        <f t="shared" si="278"/>
        <v>709.31999999999994</v>
      </c>
      <c r="L169" s="123">
        <f t="shared" si="278"/>
        <v>1823.51</v>
      </c>
      <c r="M169" s="123">
        <f t="shared" si="278"/>
        <v>3275.34</v>
      </c>
      <c r="N169" s="123">
        <f t="shared" si="278"/>
        <v>7071.9000000000005</v>
      </c>
      <c r="O169" s="123">
        <f t="shared" si="278"/>
        <v>3203.4100000000003</v>
      </c>
      <c r="P169" s="123">
        <f t="shared" si="278"/>
        <v>551.27</v>
      </c>
      <c r="Q169" s="123">
        <f t="shared" si="278"/>
        <v>2213.8599999999997</v>
      </c>
      <c r="R169" s="123">
        <f t="shared" si="278"/>
        <v>3996.2000000000003</v>
      </c>
      <c r="S169" s="123">
        <f t="shared" si="278"/>
        <v>988.9799999999999</v>
      </c>
      <c r="T169" s="123">
        <f t="shared" si="278"/>
        <v>258.13</v>
      </c>
      <c r="U169" s="123">
        <f t="shared" si="278"/>
        <v>1068.8399999999999</v>
      </c>
      <c r="V169" s="123">
        <f t="shared" si="278"/>
        <v>841.2399999999999</v>
      </c>
      <c r="W169" s="123">
        <f t="shared" si="278"/>
        <v>979.06</v>
      </c>
      <c r="X169" s="123">
        <f t="shared" si="278"/>
        <v>2301.4</v>
      </c>
      <c r="Y169" s="123">
        <f t="shared" si="278"/>
        <v>419.01000000000005</v>
      </c>
      <c r="Z169" s="123">
        <f t="shared" si="278"/>
        <v>800.06</v>
      </c>
      <c r="AA169" s="123">
        <f t="shared" si="278"/>
        <v>346.11</v>
      </c>
      <c r="AB169" s="123">
        <f t="shared" si="278"/>
        <v>4650.53</v>
      </c>
      <c r="AC169" s="123"/>
      <c r="AD169" s="123"/>
      <c r="AE169" s="123">
        <f t="shared" si="278"/>
        <v>139.68</v>
      </c>
      <c r="AF169" s="123">
        <f t="shared" si="278"/>
        <v>51.17</v>
      </c>
      <c r="AG169" s="123">
        <f t="shared" ref="AG169:AH169" si="279">AG168-AG167</f>
        <v>6038.54</v>
      </c>
      <c r="AH169" s="123">
        <f t="shared" si="279"/>
        <v>2132.86</v>
      </c>
      <c r="AI169" s="123">
        <f t="shared" ref="AI169" si="280">AI168-AI167</f>
        <v>476.18</v>
      </c>
      <c r="AJ169" s="123">
        <f t="shared" ref="AJ169:AO169" si="281">AJ168-AJ167</f>
        <v>115.77000000000001</v>
      </c>
      <c r="AK169" s="123">
        <f t="shared" si="281"/>
        <v>121.16</v>
      </c>
      <c r="AL169" s="123">
        <f t="shared" si="281"/>
        <v>129.24</v>
      </c>
      <c r="AM169" s="123">
        <f t="shared" si="281"/>
        <v>667.86999999999989</v>
      </c>
      <c r="AN169" s="123">
        <f t="shared" si="281"/>
        <v>174.22</v>
      </c>
      <c r="AO169" s="123">
        <f t="shared" si="281"/>
        <v>0</v>
      </c>
      <c r="AP169" s="123">
        <f t="shared" si="278"/>
        <v>0</v>
      </c>
      <c r="AQ169" s="123">
        <f t="shared" si="278"/>
        <v>0</v>
      </c>
      <c r="AR169" s="123">
        <f t="shared" si="278"/>
        <v>2685.7200000000003</v>
      </c>
      <c r="AS169" s="123">
        <f t="shared" si="278"/>
        <v>741.57999999999993</v>
      </c>
      <c r="AT169" s="123">
        <f t="shared" si="278"/>
        <v>3329.4799999999996</v>
      </c>
      <c r="AU169" s="123">
        <f t="shared" si="278"/>
        <v>298.01</v>
      </c>
      <c r="AV169" s="123">
        <f t="shared" si="278"/>
        <v>0</v>
      </c>
      <c r="AW169" s="123"/>
      <c r="AX169" s="123"/>
      <c r="AY169" s="123">
        <f t="shared" si="278"/>
        <v>0</v>
      </c>
      <c r="AZ169" s="123">
        <f t="shared" si="278"/>
        <v>0</v>
      </c>
      <c r="BA169" s="123">
        <f t="shared" si="278"/>
        <v>0</v>
      </c>
      <c r="BB169" s="123">
        <f t="shared" si="278"/>
        <v>0</v>
      </c>
      <c r="BC169" s="123">
        <f t="shared" si="278"/>
        <v>0</v>
      </c>
      <c r="BD169" s="123">
        <f t="shared" si="278"/>
        <v>0</v>
      </c>
      <c r="BE169" s="123">
        <f t="shared" si="278"/>
        <v>0</v>
      </c>
      <c r="BF169" s="123">
        <f t="shared" si="278"/>
        <v>0</v>
      </c>
      <c r="BG169" s="123">
        <f t="shared" si="278"/>
        <v>0</v>
      </c>
      <c r="BH169" s="123">
        <f t="shared" si="278"/>
        <v>0</v>
      </c>
      <c r="BI169" s="123">
        <f t="shared" si="278"/>
        <v>0</v>
      </c>
      <c r="BJ169" s="123">
        <f t="shared" si="278"/>
        <v>0</v>
      </c>
      <c r="BK169" s="123">
        <f t="shared" si="278"/>
        <v>0</v>
      </c>
      <c r="BL169" s="123">
        <f t="shared" si="278"/>
        <v>0</v>
      </c>
      <c r="BM169" s="123">
        <f>SUM(G169:BL169)</f>
        <v>70346.979999999981</v>
      </c>
    </row>
    <row r="170" spans="1:82" hidden="1">
      <c r="A170" s="20" t="s">
        <v>333</v>
      </c>
    </row>
    <row r="171" spans="1:82" hidden="1">
      <c r="A171" s="20" t="s">
        <v>334</v>
      </c>
      <c r="B171" s="222" t="s">
        <v>644</v>
      </c>
      <c r="G171" s="98">
        <v>0.17</v>
      </c>
    </row>
    <row r="172" spans="1:82" hidden="1">
      <c r="A172" s="20" t="s">
        <v>335</v>
      </c>
      <c r="B172" s="222" t="s">
        <v>645</v>
      </c>
      <c r="G172" s="98">
        <v>7.0000000000000007E-2</v>
      </c>
    </row>
    <row r="173" spans="1:82" hidden="1">
      <c r="A173" s="20" t="s">
        <v>336</v>
      </c>
      <c r="B173" s="222" t="s">
        <v>646</v>
      </c>
      <c r="G173" s="77">
        <v>3.3999999999999998E-3</v>
      </c>
    </row>
    <row r="174" spans="1:82" hidden="1">
      <c r="A174" s="96" t="s">
        <v>337</v>
      </c>
      <c r="B174" s="222" t="s">
        <v>647</v>
      </c>
      <c r="G174" s="77">
        <v>2.7000000000000001E-3</v>
      </c>
    </row>
    <row r="175" spans="1:82" hidden="1">
      <c r="A175" s="96" t="s">
        <v>338</v>
      </c>
    </row>
    <row r="176" spans="1:82" hidden="1">
      <c r="A176" s="96" t="s">
        <v>339</v>
      </c>
    </row>
    <row r="177" spans="1:71" hidden="1">
      <c r="A177" s="20" t="s">
        <v>340</v>
      </c>
    </row>
    <row r="178" spans="1:71" hidden="1"/>
    <row r="179" spans="1:71" hidden="1"/>
    <row r="180" spans="1:71" hidden="1"/>
    <row r="181" spans="1:71" hidden="1">
      <c r="A181" s="95" t="s">
        <v>341</v>
      </c>
      <c r="B181" s="271"/>
      <c r="C181" s="271"/>
      <c r="D181" s="271"/>
    </row>
    <row r="182" spans="1:71" hidden="1">
      <c r="B182" s="233"/>
      <c r="C182" s="233"/>
      <c r="D182" s="233"/>
    </row>
    <row r="183" spans="1:71" hidden="1">
      <c r="BM183" s="85"/>
      <c r="BS183" s="85"/>
    </row>
    <row r="184" spans="1:71" hidden="1"/>
    <row r="185" spans="1:71" hidden="1"/>
    <row r="186" spans="1:71" hidden="1">
      <c r="A186" t="s">
        <v>140</v>
      </c>
      <c r="G186" s="123">
        <f>(('June 2025 YTD'!C62)*2)*1.03</f>
        <v>3348.3240000000001</v>
      </c>
      <c r="H186">
        <v>1213.1546000000001</v>
      </c>
      <c r="I186">
        <v>429.92199999999997</v>
      </c>
      <c r="J186">
        <v>0</v>
      </c>
      <c r="K186">
        <v>180.5384</v>
      </c>
      <c r="L186">
        <v>258.05619999999999</v>
      </c>
      <c r="M186">
        <v>1463.8566000000001</v>
      </c>
      <c r="N186">
        <v>508.98480000000006</v>
      </c>
      <c r="O186">
        <v>696.79500000000007</v>
      </c>
      <c r="P186">
        <v>0</v>
      </c>
      <c r="Q186">
        <v>0</v>
      </c>
      <c r="R186">
        <v>77.517800000000008</v>
      </c>
      <c r="S186">
        <v>0</v>
      </c>
      <c r="T186">
        <v>0</v>
      </c>
      <c r="U186">
        <v>69.916399999999996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86.190400000000011</v>
      </c>
      <c r="AB186">
        <v>508.98480000000006</v>
      </c>
      <c r="AE186">
        <v>0</v>
      </c>
      <c r="AF186">
        <v>0</v>
      </c>
      <c r="AG186">
        <v>928.38020000000006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 s="109">
        <v>9547.5644000000011</v>
      </c>
      <c r="BN186">
        <v>972.02</v>
      </c>
      <c r="BO186">
        <f>BM186+BN186</f>
        <v>10519.584400000002</v>
      </c>
      <c r="BS186" s="109"/>
    </row>
    <row r="187" spans="1:71" hidden="1">
      <c r="A187" t="s">
        <v>141</v>
      </c>
      <c r="G187" s="123">
        <f>(('June 2025 YTD'!C63)*2)*1.03</f>
        <v>125.26860000000001</v>
      </c>
      <c r="H187">
        <v>163.0284</v>
      </c>
      <c r="I187">
        <v>22.330400000000001</v>
      </c>
      <c r="J187">
        <v>29.6022</v>
      </c>
      <c r="K187">
        <v>0</v>
      </c>
      <c r="L187">
        <v>31.826999999999998</v>
      </c>
      <c r="M187">
        <v>63.551000000000002</v>
      </c>
      <c r="N187">
        <v>154.1498</v>
      </c>
      <c r="O187">
        <v>32.136000000000003</v>
      </c>
      <c r="P187">
        <v>7.8279999999999994</v>
      </c>
      <c r="Q187">
        <v>31.0854</v>
      </c>
      <c r="R187">
        <v>81.43180000000001</v>
      </c>
      <c r="S187">
        <v>11.556600000000001</v>
      </c>
      <c r="T187">
        <v>0.72099999999999997</v>
      </c>
      <c r="U187">
        <v>28.489800000000002</v>
      </c>
      <c r="V187">
        <v>0</v>
      </c>
      <c r="W187">
        <v>0</v>
      </c>
      <c r="X187">
        <v>59.657600000000002</v>
      </c>
      <c r="Y187">
        <v>0</v>
      </c>
      <c r="Z187">
        <v>16.418199999999999</v>
      </c>
      <c r="AA187">
        <v>12.1952</v>
      </c>
      <c r="AB187">
        <v>99.848200000000006</v>
      </c>
      <c r="AE187">
        <v>0</v>
      </c>
      <c r="AF187">
        <v>0</v>
      </c>
      <c r="AG187">
        <v>96.3874</v>
      </c>
      <c r="AH187">
        <v>42.806800000000003</v>
      </c>
      <c r="AI187">
        <v>3.0488</v>
      </c>
      <c r="AJ187">
        <v>0.67980000000000007</v>
      </c>
      <c r="AK187">
        <v>0.98880000000000001</v>
      </c>
      <c r="AL187">
        <v>0.98880000000000001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5.8091999999999997</v>
      </c>
      <c r="AS187">
        <v>8.7138000000000009</v>
      </c>
      <c r="AT187">
        <v>0</v>
      </c>
      <c r="AU187">
        <v>0</v>
      </c>
      <c r="AV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 s="109">
        <v>1293.6799999999998</v>
      </c>
      <c r="BN187">
        <v>155</v>
      </c>
      <c r="BO187">
        <f>BM187+BN187</f>
        <v>1448.6799999999998</v>
      </c>
      <c r="BS187" s="109"/>
    </row>
    <row r="188" spans="1:71" hidden="1">
      <c r="A188" t="s">
        <v>142</v>
      </c>
      <c r="G188" s="123">
        <f>(('June 2025 YTD'!C64)*2)*1.03</f>
        <v>8815.0696000000007</v>
      </c>
      <c r="H188">
        <v>4062.3406</v>
      </c>
      <c r="I188">
        <v>246.3554</v>
      </c>
      <c r="J188">
        <v>455.05400000000003</v>
      </c>
      <c r="K188">
        <v>0</v>
      </c>
      <c r="L188">
        <v>12894.8172</v>
      </c>
      <c r="M188">
        <v>1737.3422</v>
      </c>
      <c r="N188">
        <v>3258.7140000000004</v>
      </c>
      <c r="O188">
        <v>840.72720000000004</v>
      </c>
      <c r="P188">
        <v>12.236400000000001</v>
      </c>
      <c r="Q188">
        <v>426.46120000000002</v>
      </c>
      <c r="R188">
        <v>881.10320000000013</v>
      </c>
      <c r="S188">
        <v>17.5306</v>
      </c>
      <c r="T188">
        <v>1.5656000000000001</v>
      </c>
      <c r="U188">
        <v>353.57839999999999</v>
      </c>
      <c r="V188">
        <v>0</v>
      </c>
      <c r="W188">
        <v>0</v>
      </c>
      <c r="X188">
        <v>847.25740000000008</v>
      </c>
      <c r="Y188">
        <v>0</v>
      </c>
      <c r="Z188">
        <v>26.532800000000002</v>
      </c>
      <c r="AA188">
        <v>122.6524</v>
      </c>
      <c r="AB188">
        <v>1542.3838000000001</v>
      </c>
      <c r="AE188">
        <v>0</v>
      </c>
      <c r="AF188">
        <v>0</v>
      </c>
      <c r="AG188">
        <v>1693.6496</v>
      </c>
      <c r="AH188">
        <v>1424.3252</v>
      </c>
      <c r="AI188">
        <v>4.7791999999999994</v>
      </c>
      <c r="AJ188">
        <v>1.2565999999999999</v>
      </c>
      <c r="AK188">
        <v>1.7303999999999999</v>
      </c>
      <c r="AL188">
        <v>1.7303999999999999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9.1052</v>
      </c>
      <c r="AS188">
        <v>34.360799999999998</v>
      </c>
      <c r="AT188">
        <v>0</v>
      </c>
      <c r="AU188">
        <v>0</v>
      </c>
      <c r="AV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 s="109">
        <v>38433.461199999998</v>
      </c>
      <c r="BN188">
        <v>3412.48</v>
      </c>
      <c r="BO188">
        <f>BM188+BN188</f>
        <v>41845.941200000001</v>
      </c>
      <c r="BS188" s="109"/>
    </row>
    <row r="189" spans="1:71" hidden="1"/>
    <row r="190" spans="1:71" hidden="1">
      <c r="A190" t="s">
        <v>140</v>
      </c>
      <c r="E190" s="77"/>
      <c r="F190" s="77"/>
      <c r="G190" s="77">
        <f t="shared" ref="G190:AB190" si="282">G186/$BM$186</f>
        <v>0.35069928410223655</v>
      </c>
      <c r="H190" s="77">
        <f t="shared" si="282"/>
        <v>0.12706430134160707</v>
      </c>
      <c r="I190" s="77">
        <f t="shared" si="282"/>
        <v>4.5029494642633665E-2</v>
      </c>
      <c r="J190" s="77">
        <f t="shared" si="282"/>
        <v>0</v>
      </c>
      <c r="K190" s="77">
        <f t="shared" si="282"/>
        <v>1.8909367084237731E-2</v>
      </c>
      <c r="L190" s="77">
        <f t="shared" si="282"/>
        <v>2.7028484877253088E-2</v>
      </c>
      <c r="M190" s="77">
        <f t="shared" si="282"/>
        <v>0.15332251647341597</v>
      </c>
      <c r="N190" s="77">
        <f t="shared" si="282"/>
        <v>5.3310433810742353E-2</v>
      </c>
      <c r="O190" s="77">
        <f t="shared" si="282"/>
        <v>7.2981440167085965E-2</v>
      </c>
      <c r="P190" s="77">
        <f t="shared" si="282"/>
        <v>0</v>
      </c>
      <c r="Q190" s="77">
        <f t="shared" si="282"/>
        <v>0</v>
      </c>
      <c r="R190" s="77">
        <f t="shared" si="282"/>
        <v>8.1191177930153586E-3</v>
      </c>
      <c r="S190" s="77">
        <f t="shared" si="282"/>
        <v>0</v>
      </c>
      <c r="T190" s="77">
        <f t="shared" si="282"/>
        <v>0</v>
      </c>
      <c r="U190" s="77">
        <f t="shared" si="282"/>
        <v>7.3229566275562373E-3</v>
      </c>
      <c r="V190" s="77">
        <f t="shared" si="282"/>
        <v>0</v>
      </c>
      <c r="W190" s="77">
        <f t="shared" si="282"/>
        <v>0</v>
      </c>
      <c r="X190" s="77">
        <f t="shared" si="282"/>
        <v>0</v>
      </c>
      <c r="Y190" s="77">
        <f t="shared" si="282"/>
        <v>0</v>
      </c>
      <c r="Z190" s="77">
        <f t="shared" si="282"/>
        <v>0</v>
      </c>
      <c r="AA190" s="77">
        <f t="shared" si="282"/>
        <v>9.0274751118725113E-3</v>
      </c>
      <c r="AB190" s="77">
        <f t="shared" si="282"/>
        <v>5.3310433810742353E-2</v>
      </c>
      <c r="AC190" s="77"/>
      <c r="AD190" s="77"/>
      <c r="AE190" s="77">
        <f t="shared" ref="AE190:AV190" si="283">AE186/$BM$186</f>
        <v>0</v>
      </c>
      <c r="AF190" s="77">
        <f t="shared" si="283"/>
        <v>0</v>
      </c>
      <c r="AG190" s="77">
        <f t="shared" si="283"/>
        <v>9.7237385484406885E-2</v>
      </c>
      <c r="AH190" s="77">
        <f t="shared" si="283"/>
        <v>0</v>
      </c>
      <c r="AI190" s="77">
        <f t="shared" si="283"/>
        <v>0</v>
      </c>
      <c r="AJ190" s="77">
        <f t="shared" si="283"/>
        <v>0</v>
      </c>
      <c r="AK190" s="77">
        <f t="shared" si="283"/>
        <v>0</v>
      </c>
      <c r="AL190" s="77">
        <f t="shared" si="283"/>
        <v>0</v>
      </c>
      <c r="AM190" s="77">
        <f t="shared" si="283"/>
        <v>0</v>
      </c>
      <c r="AN190" s="77">
        <f t="shared" si="283"/>
        <v>0</v>
      </c>
      <c r="AO190" s="77">
        <f t="shared" si="283"/>
        <v>0</v>
      </c>
      <c r="AP190" s="77">
        <f t="shared" si="283"/>
        <v>0</v>
      </c>
      <c r="AQ190" s="77">
        <f t="shared" si="283"/>
        <v>0</v>
      </c>
      <c r="AR190" s="77">
        <f t="shared" si="283"/>
        <v>0</v>
      </c>
      <c r="AS190" s="77">
        <f t="shared" si="283"/>
        <v>0</v>
      </c>
      <c r="AT190" s="77">
        <f t="shared" si="283"/>
        <v>0</v>
      </c>
      <c r="AU190" s="77">
        <f t="shared" si="283"/>
        <v>0</v>
      </c>
      <c r="AV190" s="77">
        <f t="shared" si="283"/>
        <v>0</v>
      </c>
      <c r="AW190" s="77"/>
      <c r="AX190" s="77"/>
      <c r="AY190" s="77">
        <f t="shared" ref="AY190:BL190" si="284">AY186/$BM$186</f>
        <v>0</v>
      </c>
      <c r="AZ190" s="77">
        <f t="shared" si="284"/>
        <v>0</v>
      </c>
      <c r="BA190" s="77">
        <f t="shared" si="284"/>
        <v>0</v>
      </c>
      <c r="BB190" s="77">
        <f t="shared" si="284"/>
        <v>0</v>
      </c>
      <c r="BC190" s="77">
        <f t="shared" si="284"/>
        <v>0</v>
      </c>
      <c r="BD190" s="77">
        <f t="shared" si="284"/>
        <v>0</v>
      </c>
      <c r="BE190" s="77">
        <f t="shared" si="284"/>
        <v>0</v>
      </c>
      <c r="BF190" s="77">
        <f t="shared" si="284"/>
        <v>0</v>
      </c>
      <c r="BG190" s="77">
        <f t="shared" si="284"/>
        <v>0</v>
      </c>
      <c r="BH190" s="77">
        <f t="shared" si="284"/>
        <v>0</v>
      </c>
      <c r="BI190" s="77">
        <f t="shared" si="284"/>
        <v>0</v>
      </c>
      <c r="BJ190" s="77">
        <f t="shared" si="284"/>
        <v>0</v>
      </c>
      <c r="BK190" s="77">
        <f t="shared" si="284"/>
        <v>0</v>
      </c>
      <c r="BL190" s="77">
        <f t="shared" si="284"/>
        <v>0</v>
      </c>
      <c r="BM190" s="77">
        <f>SUM(G190:BL190)</f>
        <v>1.0233626913268057</v>
      </c>
      <c r="BS190" s="77"/>
    </row>
    <row r="191" spans="1:71" hidden="1">
      <c r="A191" t="s">
        <v>141</v>
      </c>
      <c r="E191" s="77"/>
      <c r="F191" s="77"/>
      <c r="G191" s="77">
        <f t="shared" ref="G191:AB191" si="285">G187/$BM$187</f>
        <v>9.6831210191082817E-2</v>
      </c>
      <c r="H191" s="77">
        <f t="shared" si="285"/>
        <v>0.12601910828025481</v>
      </c>
      <c r="I191" s="77">
        <f t="shared" si="285"/>
        <v>1.7261146496815288E-2</v>
      </c>
      <c r="J191" s="77">
        <f t="shared" si="285"/>
        <v>2.2882165605095543E-2</v>
      </c>
      <c r="K191" s="77">
        <f t="shared" si="285"/>
        <v>0</v>
      </c>
      <c r="L191" s="77">
        <f t="shared" si="285"/>
        <v>2.4601910828025479E-2</v>
      </c>
      <c r="M191" s="77">
        <f t="shared" si="285"/>
        <v>4.9124203821656061E-2</v>
      </c>
      <c r="N191" s="77">
        <f t="shared" si="285"/>
        <v>0.11915605095541403</v>
      </c>
      <c r="O191" s="77">
        <f t="shared" si="285"/>
        <v>2.4840764331210196E-2</v>
      </c>
      <c r="P191" s="77">
        <f t="shared" si="285"/>
        <v>6.0509554140127392E-3</v>
      </c>
      <c r="Q191" s="77">
        <f t="shared" si="285"/>
        <v>2.4028662420382169E-2</v>
      </c>
      <c r="R191" s="77">
        <f t="shared" si="285"/>
        <v>6.2945859872611476E-2</v>
      </c>
      <c r="S191" s="77">
        <f t="shared" si="285"/>
        <v>8.9331210191082831E-3</v>
      </c>
      <c r="T191" s="77">
        <f t="shared" si="285"/>
        <v>5.573248407643313E-4</v>
      </c>
      <c r="U191" s="77">
        <f t="shared" si="285"/>
        <v>2.2022292993630579E-2</v>
      </c>
      <c r="V191" s="77">
        <f t="shared" si="285"/>
        <v>0</v>
      </c>
      <c r="W191" s="77">
        <f t="shared" si="285"/>
        <v>0</v>
      </c>
      <c r="X191" s="77">
        <f t="shared" si="285"/>
        <v>4.6114649681528667E-2</v>
      </c>
      <c r="Y191" s="77">
        <f t="shared" si="285"/>
        <v>0</v>
      </c>
      <c r="Z191" s="77">
        <f t="shared" si="285"/>
        <v>1.2691082802547771E-2</v>
      </c>
      <c r="AA191" s="77">
        <f t="shared" si="285"/>
        <v>9.4267515923566886E-3</v>
      </c>
      <c r="AB191" s="77">
        <f t="shared" si="285"/>
        <v>7.7181528662420396E-2</v>
      </c>
      <c r="AC191" s="77"/>
      <c r="AD191" s="77"/>
      <c r="AE191" s="77">
        <f t="shared" ref="AE191:AV191" si="286">AE187/$BM$187</f>
        <v>0</v>
      </c>
      <c r="AF191" s="77">
        <f t="shared" si="286"/>
        <v>0</v>
      </c>
      <c r="AG191" s="77">
        <f t="shared" si="286"/>
        <v>7.4506369426751595E-2</v>
      </c>
      <c r="AH191" s="77">
        <f t="shared" si="286"/>
        <v>3.3089171974522297E-2</v>
      </c>
      <c r="AI191" s="77">
        <f t="shared" si="286"/>
        <v>2.3566878980891721E-3</v>
      </c>
      <c r="AJ191" s="77">
        <f t="shared" si="286"/>
        <v>5.2547770700636957E-4</v>
      </c>
      <c r="AK191" s="77">
        <f t="shared" si="286"/>
        <v>7.6433121019108289E-4</v>
      </c>
      <c r="AL191" s="77">
        <f t="shared" si="286"/>
        <v>7.6433121019108289E-4</v>
      </c>
      <c r="AM191" s="77">
        <f t="shared" si="286"/>
        <v>0</v>
      </c>
      <c r="AN191" s="77">
        <f t="shared" si="286"/>
        <v>0</v>
      </c>
      <c r="AO191" s="77">
        <f t="shared" si="286"/>
        <v>0</v>
      </c>
      <c r="AP191" s="77">
        <f t="shared" si="286"/>
        <v>0</v>
      </c>
      <c r="AQ191" s="77">
        <f t="shared" si="286"/>
        <v>0</v>
      </c>
      <c r="AR191" s="77">
        <f t="shared" si="286"/>
        <v>4.4904458598726115E-3</v>
      </c>
      <c r="AS191" s="77">
        <f t="shared" si="286"/>
        <v>6.735668789808919E-3</v>
      </c>
      <c r="AT191" s="77">
        <f t="shared" si="286"/>
        <v>0</v>
      </c>
      <c r="AU191" s="77">
        <f t="shared" si="286"/>
        <v>0</v>
      </c>
      <c r="AV191" s="77">
        <f t="shared" si="286"/>
        <v>0</v>
      </c>
      <c r="AW191" s="77"/>
      <c r="AX191" s="77"/>
      <c r="AY191" s="77">
        <f t="shared" ref="AY191:BL191" si="287">AY187/$BM$187</f>
        <v>0</v>
      </c>
      <c r="AZ191" s="77">
        <f t="shared" si="287"/>
        <v>0</v>
      </c>
      <c r="BA191" s="77">
        <f t="shared" si="287"/>
        <v>0</v>
      </c>
      <c r="BB191" s="77">
        <f t="shared" si="287"/>
        <v>0</v>
      </c>
      <c r="BC191" s="77">
        <f t="shared" si="287"/>
        <v>0</v>
      </c>
      <c r="BD191" s="77">
        <f t="shared" si="287"/>
        <v>0</v>
      </c>
      <c r="BE191" s="77">
        <f t="shared" si="287"/>
        <v>0</v>
      </c>
      <c r="BF191" s="77">
        <f t="shared" si="287"/>
        <v>0</v>
      </c>
      <c r="BG191" s="77">
        <f t="shared" si="287"/>
        <v>0</v>
      </c>
      <c r="BH191" s="77">
        <f t="shared" si="287"/>
        <v>0</v>
      </c>
      <c r="BI191" s="77">
        <f t="shared" si="287"/>
        <v>0</v>
      </c>
      <c r="BJ191" s="77">
        <f t="shared" si="287"/>
        <v>0</v>
      </c>
      <c r="BK191" s="77">
        <f t="shared" si="287"/>
        <v>0</v>
      </c>
      <c r="BL191" s="77">
        <f t="shared" si="287"/>
        <v>0</v>
      </c>
      <c r="BM191" s="77">
        <f>SUM(G191:BL191)</f>
        <v>0.87390127388535055</v>
      </c>
      <c r="BS191" s="77"/>
    </row>
    <row r="192" spans="1:71" hidden="1">
      <c r="A192" t="s">
        <v>142</v>
      </c>
      <c r="E192" s="77"/>
      <c r="F192" s="77"/>
      <c r="G192" s="77">
        <f t="shared" ref="G192:AB192" si="288">G188/$BM$188</f>
        <v>0.22935924386638384</v>
      </c>
      <c r="H192" s="77">
        <f t="shared" si="288"/>
        <v>0.10569801608188233</v>
      </c>
      <c r="I192" s="77">
        <f t="shared" si="288"/>
        <v>6.4099196977866783E-3</v>
      </c>
      <c r="J192" s="77">
        <f t="shared" si="288"/>
        <v>1.1840047338749705E-2</v>
      </c>
      <c r="K192" s="77">
        <f t="shared" si="288"/>
        <v>0</v>
      </c>
      <c r="L192" s="77">
        <f t="shared" si="288"/>
        <v>0.33551017257847182</v>
      </c>
      <c r="M192" s="77">
        <f t="shared" si="288"/>
        <v>4.5203896442197099E-2</v>
      </c>
      <c r="N192" s="77">
        <f t="shared" si="288"/>
        <v>8.4788460322173659E-2</v>
      </c>
      <c r="O192" s="77">
        <f t="shared" si="288"/>
        <v>2.1874876052016885E-2</v>
      </c>
      <c r="P192" s="77">
        <f t="shared" si="288"/>
        <v>3.1837881933985174E-4</v>
      </c>
      <c r="Q192" s="77">
        <f t="shared" si="288"/>
        <v>1.1096091444400017E-2</v>
      </c>
      <c r="R192" s="77">
        <f t="shared" si="288"/>
        <v>2.2925418957582728E-2</v>
      </c>
      <c r="S192" s="77">
        <f t="shared" si="288"/>
        <v>4.5612857787578084E-4</v>
      </c>
      <c r="T192" s="77">
        <f t="shared" si="288"/>
        <v>4.0735337154593824E-5</v>
      </c>
      <c r="U192" s="77">
        <f t="shared" si="288"/>
        <v>9.1997543015980045E-3</v>
      </c>
      <c r="V192" s="77">
        <f t="shared" si="288"/>
        <v>0</v>
      </c>
      <c r="W192" s="77">
        <f t="shared" si="288"/>
        <v>0</v>
      </c>
      <c r="X192" s="77">
        <f t="shared" si="288"/>
        <v>2.2044785287253808E-2</v>
      </c>
      <c r="Y192" s="77">
        <f t="shared" si="288"/>
        <v>0</v>
      </c>
      <c r="Z192" s="77">
        <f t="shared" si="288"/>
        <v>6.903567665146954E-4</v>
      </c>
      <c r="AA192" s="77">
        <f t="shared" si="288"/>
        <v>3.1912920712954163E-3</v>
      </c>
      <c r="AB192" s="77">
        <f t="shared" si="288"/>
        <v>4.0131274983893468E-2</v>
      </c>
      <c r="AC192" s="77"/>
      <c r="AD192" s="77"/>
      <c r="AE192" s="77">
        <f t="shared" ref="AE192:AV192" si="289">AE188/$BM$188</f>
        <v>0</v>
      </c>
      <c r="AF192" s="77">
        <f t="shared" si="289"/>
        <v>0</v>
      </c>
      <c r="AG192" s="77">
        <f t="shared" si="289"/>
        <v>4.4067058940816917E-2</v>
      </c>
      <c r="AH192" s="77">
        <f t="shared" si="289"/>
        <v>3.7059508967670081E-2</v>
      </c>
      <c r="AI192" s="77">
        <f t="shared" si="289"/>
        <v>1.2434997657718113E-4</v>
      </c>
      <c r="AJ192" s="77">
        <f t="shared" si="289"/>
        <v>3.2695467979345039E-5</v>
      </c>
      <c r="AK192" s="77">
        <f t="shared" si="289"/>
        <v>4.5023267381393169E-5</v>
      </c>
      <c r="AL192" s="77">
        <f t="shared" si="289"/>
        <v>4.5023267381393169E-5</v>
      </c>
      <c r="AM192" s="77">
        <f t="shared" si="289"/>
        <v>0</v>
      </c>
      <c r="AN192" s="77">
        <f t="shared" si="289"/>
        <v>0</v>
      </c>
      <c r="AO192" s="77">
        <f t="shared" si="289"/>
        <v>0</v>
      </c>
      <c r="AP192" s="77">
        <f t="shared" si="289"/>
        <v>0</v>
      </c>
      <c r="AQ192" s="77">
        <f t="shared" si="289"/>
        <v>0</v>
      </c>
      <c r="AR192" s="77">
        <f t="shared" si="289"/>
        <v>2.3690814503066408E-4</v>
      </c>
      <c r="AS192" s="77">
        <f t="shared" si="289"/>
        <v>8.9403345228766438E-4</v>
      </c>
      <c r="AT192" s="77">
        <f t="shared" si="289"/>
        <v>0</v>
      </c>
      <c r="AU192" s="77">
        <f t="shared" si="289"/>
        <v>0</v>
      </c>
      <c r="AV192" s="77">
        <f t="shared" si="289"/>
        <v>0</v>
      </c>
      <c r="AW192" s="77"/>
      <c r="AX192" s="77"/>
      <c r="AY192" s="77">
        <f t="shared" ref="AY192:BL192" si="290">AY188/$BM$188</f>
        <v>0</v>
      </c>
      <c r="AZ192" s="77">
        <f t="shared" si="290"/>
        <v>0</v>
      </c>
      <c r="BA192" s="77">
        <f t="shared" si="290"/>
        <v>0</v>
      </c>
      <c r="BB192" s="77">
        <f t="shared" si="290"/>
        <v>0</v>
      </c>
      <c r="BC192" s="77">
        <f t="shared" si="290"/>
        <v>0</v>
      </c>
      <c r="BD192" s="77">
        <f t="shared" si="290"/>
        <v>0</v>
      </c>
      <c r="BE192" s="77">
        <f t="shared" si="290"/>
        <v>0</v>
      </c>
      <c r="BF192" s="77">
        <f t="shared" si="290"/>
        <v>0</v>
      </c>
      <c r="BG192" s="77">
        <f t="shared" si="290"/>
        <v>0</v>
      </c>
      <c r="BH192" s="77">
        <f t="shared" si="290"/>
        <v>0</v>
      </c>
      <c r="BI192" s="77">
        <f t="shared" si="290"/>
        <v>0</v>
      </c>
      <c r="BJ192" s="77">
        <f t="shared" si="290"/>
        <v>0</v>
      </c>
      <c r="BK192" s="77">
        <f t="shared" si="290"/>
        <v>0</v>
      </c>
      <c r="BL192" s="77">
        <f t="shared" si="290"/>
        <v>0</v>
      </c>
      <c r="BM192" s="77">
        <f>SUM(G192:BL192)</f>
        <v>1.0332834504116952</v>
      </c>
      <c r="BS192" s="77"/>
    </row>
    <row r="193" spans="1:71" hidden="1"/>
    <row r="194" spans="1:71" hidden="1">
      <c r="A194" t="s">
        <v>140</v>
      </c>
      <c r="E194" s="83"/>
      <c r="F194" s="83"/>
      <c r="G194" s="83">
        <f t="shared" ref="G194:AB194" si="291">$BN$186*G190</f>
        <v>340.88671813305598</v>
      </c>
      <c r="H194" s="83">
        <f t="shared" si="291"/>
        <v>123.5090421900689</v>
      </c>
      <c r="I194" s="83">
        <f t="shared" si="291"/>
        <v>43.769569382532772</v>
      </c>
      <c r="J194" s="83">
        <f t="shared" si="291"/>
        <v>0</v>
      </c>
      <c r="K194" s="83">
        <f t="shared" si="291"/>
        <v>18.38028299322076</v>
      </c>
      <c r="L194" s="83">
        <f t="shared" si="291"/>
        <v>26.272227870387546</v>
      </c>
      <c r="M194" s="83">
        <f t="shared" si="291"/>
        <v>149.03255246248978</v>
      </c>
      <c r="N194" s="83">
        <f t="shared" si="291"/>
        <v>51.818807872717784</v>
      </c>
      <c r="O194" s="83">
        <f t="shared" si="291"/>
        <v>70.939419471210897</v>
      </c>
      <c r="P194" s="83">
        <f t="shared" si="291"/>
        <v>0</v>
      </c>
      <c r="Q194" s="83">
        <f t="shared" si="291"/>
        <v>0</v>
      </c>
      <c r="R194" s="83">
        <f t="shared" si="291"/>
        <v>7.8919448771667886</v>
      </c>
      <c r="S194" s="83">
        <f t="shared" si="291"/>
        <v>0</v>
      </c>
      <c r="T194" s="83">
        <f t="shared" si="291"/>
        <v>0</v>
      </c>
      <c r="U194" s="83">
        <f t="shared" si="291"/>
        <v>7.1180603011172137</v>
      </c>
      <c r="V194" s="83">
        <f t="shared" si="291"/>
        <v>0</v>
      </c>
      <c r="W194" s="83">
        <f t="shared" si="291"/>
        <v>0</v>
      </c>
      <c r="X194" s="83">
        <f t="shared" si="291"/>
        <v>0</v>
      </c>
      <c r="Y194" s="83">
        <f t="shared" si="291"/>
        <v>0</v>
      </c>
      <c r="Z194" s="83">
        <f t="shared" si="291"/>
        <v>0</v>
      </c>
      <c r="AA194" s="83">
        <f t="shared" si="291"/>
        <v>8.774886358242318</v>
      </c>
      <c r="AB194" s="83">
        <f t="shared" si="291"/>
        <v>51.818807872717784</v>
      </c>
      <c r="AC194" s="83"/>
      <c r="AD194" s="83"/>
      <c r="AE194" s="83">
        <f t="shared" ref="AE194:AV194" si="292">$BN$186*AE190</f>
        <v>0</v>
      </c>
      <c r="AF194" s="83">
        <f t="shared" si="292"/>
        <v>0</v>
      </c>
      <c r="AG194" s="83">
        <f t="shared" si="292"/>
        <v>94.516683438553173</v>
      </c>
      <c r="AH194" s="83">
        <f t="shared" si="292"/>
        <v>0</v>
      </c>
      <c r="AI194" s="83">
        <f t="shared" si="292"/>
        <v>0</v>
      </c>
      <c r="AJ194" s="83">
        <f t="shared" si="292"/>
        <v>0</v>
      </c>
      <c r="AK194" s="83">
        <f t="shared" si="292"/>
        <v>0</v>
      </c>
      <c r="AL194" s="83">
        <f t="shared" si="292"/>
        <v>0</v>
      </c>
      <c r="AM194" s="83">
        <f t="shared" si="292"/>
        <v>0</v>
      </c>
      <c r="AN194" s="83">
        <f t="shared" si="292"/>
        <v>0</v>
      </c>
      <c r="AO194" s="83">
        <f t="shared" si="292"/>
        <v>0</v>
      </c>
      <c r="AP194" s="83">
        <f t="shared" si="292"/>
        <v>0</v>
      </c>
      <c r="AQ194" s="83">
        <f t="shared" si="292"/>
        <v>0</v>
      </c>
      <c r="AR194" s="83">
        <f t="shared" si="292"/>
        <v>0</v>
      </c>
      <c r="AS194" s="83">
        <f t="shared" si="292"/>
        <v>0</v>
      </c>
      <c r="AT194" s="83">
        <f t="shared" si="292"/>
        <v>0</v>
      </c>
      <c r="AU194" s="83">
        <f t="shared" si="292"/>
        <v>0</v>
      </c>
      <c r="AV194" s="83">
        <f t="shared" si="292"/>
        <v>0</v>
      </c>
      <c r="AW194" s="83"/>
      <c r="AX194" s="83"/>
      <c r="AY194" s="83">
        <f t="shared" ref="AY194:BL194" si="293">$BN$186*AY190</f>
        <v>0</v>
      </c>
      <c r="AZ194" s="83">
        <f t="shared" si="293"/>
        <v>0</v>
      </c>
      <c r="BA194" s="83">
        <f t="shared" si="293"/>
        <v>0</v>
      </c>
      <c r="BB194" s="83">
        <f t="shared" si="293"/>
        <v>0</v>
      </c>
      <c r="BC194" s="83">
        <f t="shared" si="293"/>
        <v>0</v>
      </c>
      <c r="BD194" s="83">
        <f t="shared" si="293"/>
        <v>0</v>
      </c>
      <c r="BE194" s="83">
        <f t="shared" si="293"/>
        <v>0</v>
      </c>
      <c r="BF194" s="83">
        <f t="shared" si="293"/>
        <v>0</v>
      </c>
      <c r="BG194" s="83">
        <f t="shared" si="293"/>
        <v>0</v>
      </c>
      <c r="BH194" s="83">
        <f t="shared" si="293"/>
        <v>0</v>
      </c>
      <c r="BI194" s="83">
        <f t="shared" si="293"/>
        <v>0</v>
      </c>
      <c r="BJ194" s="83">
        <f t="shared" si="293"/>
        <v>0</v>
      </c>
      <c r="BK194" s="83">
        <f t="shared" si="293"/>
        <v>0</v>
      </c>
      <c r="BL194" s="83">
        <f t="shared" si="293"/>
        <v>0</v>
      </c>
      <c r="BM194" s="83">
        <f>SUM(G194:BL194)</f>
        <v>994.72900322348153</v>
      </c>
      <c r="BS194" s="83"/>
    </row>
    <row r="195" spans="1:71" hidden="1">
      <c r="A195" t="s">
        <v>141</v>
      </c>
      <c r="E195" s="83"/>
      <c r="F195" s="83"/>
      <c r="G195" s="83">
        <f t="shared" ref="G195:AB195" si="294">$BN$187*G191</f>
        <v>15.008837579617836</v>
      </c>
      <c r="H195" s="83">
        <f t="shared" si="294"/>
        <v>19.532961783439497</v>
      </c>
      <c r="I195" s="83">
        <f t="shared" si="294"/>
        <v>2.6754777070063698</v>
      </c>
      <c r="J195" s="83">
        <f t="shared" si="294"/>
        <v>3.5467356687898093</v>
      </c>
      <c r="K195" s="83">
        <f t="shared" si="294"/>
        <v>0</v>
      </c>
      <c r="L195" s="83">
        <f t="shared" si="294"/>
        <v>3.8132961783439492</v>
      </c>
      <c r="M195" s="83">
        <f t="shared" si="294"/>
        <v>7.6142515923566894</v>
      </c>
      <c r="N195" s="83">
        <f t="shared" si="294"/>
        <v>18.469187898089174</v>
      </c>
      <c r="O195" s="83">
        <f t="shared" si="294"/>
        <v>3.8503184713375802</v>
      </c>
      <c r="P195" s="83">
        <f t="shared" si="294"/>
        <v>0.93789808917197459</v>
      </c>
      <c r="Q195" s="83">
        <f t="shared" si="294"/>
        <v>3.7244426751592363</v>
      </c>
      <c r="R195" s="83">
        <f t="shared" si="294"/>
        <v>9.7566082802547793</v>
      </c>
      <c r="S195" s="83">
        <f t="shared" si="294"/>
        <v>1.3846337579617838</v>
      </c>
      <c r="T195" s="83">
        <f t="shared" si="294"/>
        <v>8.6385350318471346E-2</v>
      </c>
      <c r="U195" s="83">
        <f t="shared" si="294"/>
        <v>3.41345541401274</v>
      </c>
      <c r="V195" s="83">
        <f t="shared" si="294"/>
        <v>0</v>
      </c>
      <c r="W195" s="83">
        <f t="shared" si="294"/>
        <v>0</v>
      </c>
      <c r="X195" s="83">
        <f t="shared" si="294"/>
        <v>7.1477707006369435</v>
      </c>
      <c r="Y195" s="83">
        <f t="shared" si="294"/>
        <v>0</v>
      </c>
      <c r="Z195" s="83">
        <f t="shared" si="294"/>
        <v>1.9671178343949045</v>
      </c>
      <c r="AA195" s="83">
        <f t="shared" si="294"/>
        <v>1.4611464968152867</v>
      </c>
      <c r="AB195" s="83">
        <f t="shared" si="294"/>
        <v>11.963136942675161</v>
      </c>
      <c r="AC195" s="83"/>
      <c r="AD195" s="83"/>
      <c r="AE195" s="83">
        <f t="shared" ref="AE195:AV195" si="295">$BN$187*AE191</f>
        <v>0</v>
      </c>
      <c r="AF195" s="83">
        <f t="shared" si="295"/>
        <v>0</v>
      </c>
      <c r="AG195" s="83">
        <f t="shared" si="295"/>
        <v>11.548487261146498</v>
      </c>
      <c r="AH195" s="83">
        <f t="shared" si="295"/>
        <v>5.1288216560509561</v>
      </c>
      <c r="AI195" s="83">
        <f t="shared" si="295"/>
        <v>0.36528662420382169</v>
      </c>
      <c r="AJ195" s="83">
        <f t="shared" si="295"/>
        <v>8.1449044585987285E-2</v>
      </c>
      <c r="AK195" s="83">
        <f t="shared" si="295"/>
        <v>0.11847133757961785</v>
      </c>
      <c r="AL195" s="83">
        <f t="shared" si="295"/>
        <v>0.11847133757961785</v>
      </c>
      <c r="AM195" s="83">
        <f t="shared" si="295"/>
        <v>0</v>
      </c>
      <c r="AN195" s="83">
        <f t="shared" si="295"/>
        <v>0</v>
      </c>
      <c r="AO195" s="83">
        <f t="shared" si="295"/>
        <v>0</v>
      </c>
      <c r="AP195" s="83">
        <f t="shared" si="295"/>
        <v>0</v>
      </c>
      <c r="AQ195" s="83">
        <f t="shared" si="295"/>
        <v>0</v>
      </c>
      <c r="AR195" s="83">
        <f t="shared" si="295"/>
        <v>0.69601910828025482</v>
      </c>
      <c r="AS195" s="83">
        <f t="shared" si="295"/>
        <v>1.0440286624203825</v>
      </c>
      <c r="AT195" s="83">
        <f t="shared" si="295"/>
        <v>0</v>
      </c>
      <c r="AU195" s="83">
        <f t="shared" si="295"/>
        <v>0</v>
      </c>
      <c r="AV195" s="83">
        <f t="shared" si="295"/>
        <v>0</v>
      </c>
      <c r="AW195" s="83"/>
      <c r="AX195" s="83"/>
      <c r="AY195" s="83">
        <f t="shared" ref="AY195:BL195" si="296">$BN$187*AY191</f>
        <v>0</v>
      </c>
      <c r="AZ195" s="83">
        <f t="shared" si="296"/>
        <v>0</v>
      </c>
      <c r="BA195" s="83">
        <f t="shared" si="296"/>
        <v>0</v>
      </c>
      <c r="BB195" s="83">
        <f t="shared" si="296"/>
        <v>0</v>
      </c>
      <c r="BC195" s="83">
        <f t="shared" si="296"/>
        <v>0</v>
      </c>
      <c r="BD195" s="83">
        <f t="shared" si="296"/>
        <v>0</v>
      </c>
      <c r="BE195" s="83">
        <f t="shared" si="296"/>
        <v>0</v>
      </c>
      <c r="BF195" s="83">
        <f t="shared" si="296"/>
        <v>0</v>
      </c>
      <c r="BG195" s="83">
        <f t="shared" si="296"/>
        <v>0</v>
      </c>
      <c r="BH195" s="83">
        <f t="shared" si="296"/>
        <v>0</v>
      </c>
      <c r="BI195" s="83">
        <f t="shared" si="296"/>
        <v>0</v>
      </c>
      <c r="BJ195" s="83">
        <f t="shared" si="296"/>
        <v>0</v>
      </c>
      <c r="BK195" s="83">
        <f t="shared" si="296"/>
        <v>0</v>
      </c>
      <c r="BL195" s="83">
        <f t="shared" si="296"/>
        <v>0</v>
      </c>
      <c r="BM195" s="83">
        <f>SUM(G195:BL195)</f>
        <v>135.45469745222931</v>
      </c>
      <c r="BS195" s="83"/>
    </row>
    <row r="196" spans="1:71" hidden="1">
      <c r="A196" t="s">
        <v>142</v>
      </c>
      <c r="E196" s="83"/>
      <c r="F196" s="83"/>
      <c r="G196" s="83">
        <f t="shared" ref="G196:AB196" si="297">$BN$188*G192</f>
        <v>782.68383250915758</v>
      </c>
      <c r="H196" s="83">
        <f t="shared" si="297"/>
        <v>360.6923659191018</v>
      </c>
      <c r="I196" s="83">
        <f t="shared" si="297"/>
        <v>21.873722770303083</v>
      </c>
      <c r="J196" s="83">
        <f t="shared" si="297"/>
        <v>40.403924742536596</v>
      </c>
      <c r="K196" s="83">
        <f t="shared" si="297"/>
        <v>0</v>
      </c>
      <c r="L196" s="83">
        <f t="shared" si="297"/>
        <v>1144.9217537205836</v>
      </c>
      <c r="M196" s="83">
        <f t="shared" si="297"/>
        <v>154.25739253106875</v>
      </c>
      <c r="N196" s="83">
        <f t="shared" si="297"/>
        <v>289.33892508021114</v>
      </c>
      <c r="O196" s="83">
        <f t="shared" si="297"/>
        <v>74.647577029986579</v>
      </c>
      <c r="P196" s="83">
        <f t="shared" si="297"/>
        <v>1.0864613534208574</v>
      </c>
      <c r="Q196" s="83">
        <f t="shared" si="297"/>
        <v>37.865190132186171</v>
      </c>
      <c r="R196" s="83">
        <f t="shared" si="297"/>
        <v>78.232533684371901</v>
      </c>
      <c r="S196" s="83">
        <f t="shared" si="297"/>
        <v>1.5565296494295446</v>
      </c>
      <c r="T196" s="83">
        <f t="shared" si="297"/>
        <v>0.13900852333330832</v>
      </c>
      <c r="U196" s="83">
        <f t="shared" si="297"/>
        <v>31.393977559117157</v>
      </c>
      <c r="V196" s="83">
        <f t="shared" si="297"/>
        <v>0</v>
      </c>
      <c r="W196" s="83">
        <f t="shared" si="297"/>
        <v>0</v>
      </c>
      <c r="X196" s="83">
        <f t="shared" si="297"/>
        <v>75.227388897047874</v>
      </c>
      <c r="Y196" s="83">
        <f t="shared" si="297"/>
        <v>0</v>
      </c>
      <c r="Z196" s="83">
        <f t="shared" si="297"/>
        <v>2.3558286585960677</v>
      </c>
      <c r="AA196" s="83">
        <f t="shared" si="297"/>
        <v>10.890220367454182</v>
      </c>
      <c r="AB196" s="83">
        <f t="shared" si="297"/>
        <v>136.94717325703678</v>
      </c>
      <c r="AC196" s="83"/>
      <c r="AD196" s="83"/>
      <c r="AE196" s="83">
        <f t="shared" ref="AE196:AV196" si="298">$BN$188*AE192</f>
        <v>0</v>
      </c>
      <c r="AF196" s="83">
        <f t="shared" si="298"/>
        <v>0</v>
      </c>
      <c r="AG196" s="83">
        <f t="shared" si="298"/>
        <v>150.37795729435891</v>
      </c>
      <c r="AH196" s="83">
        <f t="shared" si="298"/>
        <v>126.4648331619948</v>
      </c>
      <c r="AI196" s="83">
        <f t="shared" si="298"/>
        <v>0.42434180807009908</v>
      </c>
      <c r="AJ196" s="83">
        <f t="shared" si="298"/>
        <v>0.11157263057015536</v>
      </c>
      <c r="AK196" s="83">
        <f t="shared" si="298"/>
        <v>0.15364099947365656</v>
      </c>
      <c r="AL196" s="83">
        <f t="shared" si="298"/>
        <v>0.15364099947365656</v>
      </c>
      <c r="AM196" s="83">
        <f t="shared" si="298"/>
        <v>0</v>
      </c>
      <c r="AN196" s="83">
        <f t="shared" si="298"/>
        <v>0</v>
      </c>
      <c r="AO196" s="83">
        <f t="shared" si="298"/>
        <v>0</v>
      </c>
      <c r="AP196" s="83">
        <f t="shared" si="298"/>
        <v>0</v>
      </c>
      <c r="AQ196" s="83">
        <f t="shared" si="298"/>
        <v>0</v>
      </c>
      <c r="AR196" s="83">
        <f t="shared" si="298"/>
        <v>0.8084443067542405</v>
      </c>
      <c r="AS196" s="83">
        <f t="shared" si="298"/>
        <v>3.050871275262609</v>
      </c>
      <c r="AT196" s="83">
        <f t="shared" si="298"/>
        <v>0</v>
      </c>
      <c r="AU196" s="83">
        <f t="shared" si="298"/>
        <v>0</v>
      </c>
      <c r="AV196" s="83">
        <f t="shared" si="298"/>
        <v>0</v>
      </c>
      <c r="AW196" s="83"/>
      <c r="AX196" s="83"/>
      <c r="AY196" s="83">
        <f t="shared" ref="AY196:BL196" si="299">$BN$188*AY192</f>
        <v>0</v>
      </c>
      <c r="AZ196" s="83">
        <f t="shared" si="299"/>
        <v>0</v>
      </c>
      <c r="BA196" s="83">
        <f t="shared" si="299"/>
        <v>0</v>
      </c>
      <c r="BB196" s="83">
        <f t="shared" si="299"/>
        <v>0</v>
      </c>
      <c r="BC196" s="83">
        <f t="shared" si="299"/>
        <v>0</v>
      </c>
      <c r="BD196" s="83">
        <f t="shared" si="299"/>
        <v>0</v>
      </c>
      <c r="BE196" s="83">
        <f t="shared" si="299"/>
        <v>0</v>
      </c>
      <c r="BF196" s="83">
        <f t="shared" si="299"/>
        <v>0</v>
      </c>
      <c r="BG196" s="83">
        <f t="shared" si="299"/>
        <v>0</v>
      </c>
      <c r="BH196" s="83">
        <f t="shared" si="299"/>
        <v>0</v>
      </c>
      <c r="BI196" s="83">
        <f t="shared" si="299"/>
        <v>0</v>
      </c>
      <c r="BJ196" s="83">
        <f t="shared" si="299"/>
        <v>0</v>
      </c>
      <c r="BK196" s="83">
        <f t="shared" si="299"/>
        <v>0</v>
      </c>
      <c r="BL196" s="83">
        <f t="shared" si="299"/>
        <v>0</v>
      </c>
      <c r="BM196" s="83">
        <f>SUM(G196:BL196)</f>
        <v>3526.0591088609017</v>
      </c>
      <c r="BS196" s="83"/>
    </row>
    <row r="197" spans="1:71" hidden="1"/>
    <row r="198" spans="1:71" hidden="1">
      <c r="A198" t="s">
        <v>140</v>
      </c>
      <c r="E198" s="83"/>
      <c r="F198" s="83"/>
      <c r="G198" s="83">
        <f>G186+G194</f>
        <v>3689.2107181330562</v>
      </c>
      <c r="H198" s="83">
        <f t="shared" ref="H198:BE198" si="300">H186+H194</f>
        <v>1336.6636421900689</v>
      </c>
      <c r="I198" s="83">
        <f t="shared" si="300"/>
        <v>473.69156938253275</v>
      </c>
      <c r="J198" s="83">
        <f t="shared" si="300"/>
        <v>0</v>
      </c>
      <c r="K198" s="83">
        <f t="shared" si="300"/>
        <v>198.91868299322076</v>
      </c>
      <c r="L198" s="83">
        <f t="shared" si="300"/>
        <v>284.32842787038754</v>
      </c>
      <c r="M198" s="83">
        <f t="shared" si="300"/>
        <v>1612.8891524624898</v>
      </c>
      <c r="N198" s="83">
        <f t="shared" si="300"/>
        <v>560.80360787271786</v>
      </c>
      <c r="O198" s="83">
        <f t="shared" si="300"/>
        <v>767.73441947121091</v>
      </c>
      <c r="P198" s="83">
        <f t="shared" si="300"/>
        <v>0</v>
      </c>
      <c r="Q198" s="83">
        <f t="shared" si="300"/>
        <v>0</v>
      </c>
      <c r="R198" s="83">
        <f t="shared" si="300"/>
        <v>85.409744877166801</v>
      </c>
      <c r="S198" s="83">
        <f t="shared" si="300"/>
        <v>0</v>
      </c>
      <c r="T198" s="83">
        <f t="shared" si="300"/>
        <v>0</v>
      </c>
      <c r="U198" s="83">
        <f t="shared" si="300"/>
        <v>77.034460301117207</v>
      </c>
      <c r="V198" s="83">
        <f t="shared" si="300"/>
        <v>0</v>
      </c>
      <c r="W198" s="83">
        <f t="shared" si="300"/>
        <v>0</v>
      </c>
      <c r="X198" s="83">
        <f t="shared" si="300"/>
        <v>0</v>
      </c>
      <c r="Y198" s="83">
        <f t="shared" si="300"/>
        <v>0</v>
      </c>
      <c r="Z198" s="83">
        <f t="shared" si="300"/>
        <v>0</v>
      </c>
      <c r="AA198" s="83">
        <f t="shared" si="300"/>
        <v>94.965286358242324</v>
      </c>
      <c r="AB198" s="83">
        <f t="shared" si="300"/>
        <v>560.80360787271786</v>
      </c>
      <c r="AC198" s="83"/>
      <c r="AD198" s="83"/>
      <c r="AE198" s="83">
        <f t="shared" ref="AE198" si="301">AE186+AE194</f>
        <v>0</v>
      </c>
      <c r="AF198" s="83">
        <f t="shared" si="300"/>
        <v>0</v>
      </c>
      <c r="AG198" s="83">
        <f t="shared" ref="AG198:AH198" si="302">AG186+AG194</f>
        <v>1022.8968834385532</v>
      </c>
      <c r="AH198" s="83">
        <f t="shared" si="302"/>
        <v>0</v>
      </c>
      <c r="AI198" s="83">
        <f t="shared" ref="AI198" si="303">AI186+AI194</f>
        <v>0</v>
      </c>
      <c r="AJ198" s="83">
        <f t="shared" ref="AJ198:AO198" si="304">AJ186+AJ194</f>
        <v>0</v>
      </c>
      <c r="AK198" s="83">
        <f t="shared" si="304"/>
        <v>0</v>
      </c>
      <c r="AL198" s="83">
        <f t="shared" si="304"/>
        <v>0</v>
      </c>
      <c r="AM198" s="83">
        <f t="shared" si="304"/>
        <v>0</v>
      </c>
      <c r="AN198" s="83">
        <f t="shared" si="304"/>
        <v>0</v>
      </c>
      <c r="AO198" s="83">
        <f t="shared" si="304"/>
        <v>0</v>
      </c>
      <c r="AP198" s="83">
        <f t="shared" si="300"/>
        <v>0</v>
      </c>
      <c r="AQ198" s="83">
        <f t="shared" si="300"/>
        <v>0</v>
      </c>
      <c r="AR198" s="83">
        <f t="shared" si="300"/>
        <v>0</v>
      </c>
      <c r="AS198" s="83">
        <f t="shared" si="300"/>
        <v>0</v>
      </c>
      <c r="AT198" s="83">
        <f t="shared" si="300"/>
        <v>0</v>
      </c>
      <c r="AU198" s="83">
        <f t="shared" si="300"/>
        <v>0</v>
      </c>
      <c r="AV198" s="83">
        <f t="shared" si="300"/>
        <v>0</v>
      </c>
      <c r="AW198" s="83"/>
      <c r="AX198" s="83"/>
      <c r="AY198" s="83">
        <f t="shared" si="300"/>
        <v>0</v>
      </c>
      <c r="AZ198" s="83">
        <f t="shared" si="300"/>
        <v>0</v>
      </c>
      <c r="BA198" s="83">
        <f t="shared" si="300"/>
        <v>0</v>
      </c>
      <c r="BB198" s="83">
        <f t="shared" si="300"/>
        <v>0</v>
      </c>
      <c r="BC198" s="83">
        <f t="shared" si="300"/>
        <v>0</v>
      </c>
      <c r="BD198" s="83">
        <f t="shared" si="300"/>
        <v>0</v>
      </c>
      <c r="BE198" s="83">
        <f t="shared" si="300"/>
        <v>0</v>
      </c>
      <c r="BF198" s="83">
        <f t="shared" ref="BF198:BL198" si="305">BF186+BF194</f>
        <v>0</v>
      </c>
      <c r="BG198" s="83">
        <f t="shared" si="305"/>
        <v>0</v>
      </c>
      <c r="BH198" s="83">
        <f t="shared" si="305"/>
        <v>0</v>
      </c>
      <c r="BI198" s="83">
        <f t="shared" si="305"/>
        <v>0</v>
      </c>
      <c r="BJ198" s="83">
        <f t="shared" si="305"/>
        <v>0</v>
      </c>
      <c r="BK198" s="83">
        <f t="shared" si="305"/>
        <v>0</v>
      </c>
      <c r="BL198" s="83">
        <f t="shared" si="305"/>
        <v>0</v>
      </c>
      <c r="BM198" s="83">
        <f>SUM(G198:BL198)</f>
        <v>10765.350203223483</v>
      </c>
      <c r="BS198" s="83"/>
    </row>
    <row r="199" spans="1:71" hidden="1">
      <c r="A199" t="s">
        <v>141</v>
      </c>
      <c r="E199" s="83"/>
      <c r="F199" s="83"/>
      <c r="G199" s="83">
        <f>G187+G195</f>
        <v>140.27743757961784</v>
      </c>
      <c r="H199" s="83">
        <f t="shared" ref="H199:BE199" si="306">H187+H195</f>
        <v>182.56136178343951</v>
      </c>
      <c r="I199" s="83">
        <f t="shared" si="306"/>
        <v>25.00587770700637</v>
      </c>
      <c r="J199" s="83">
        <f t="shared" si="306"/>
        <v>33.148935668789811</v>
      </c>
      <c r="K199" s="83">
        <f t="shared" si="306"/>
        <v>0</v>
      </c>
      <c r="L199" s="83">
        <f t="shared" si="306"/>
        <v>35.640296178343945</v>
      </c>
      <c r="M199" s="83">
        <f t="shared" si="306"/>
        <v>71.165251592356697</v>
      </c>
      <c r="N199" s="83">
        <f t="shared" si="306"/>
        <v>172.61898789808919</v>
      </c>
      <c r="O199" s="83">
        <f t="shared" si="306"/>
        <v>35.986318471337583</v>
      </c>
      <c r="P199" s="83">
        <f t="shared" si="306"/>
        <v>8.7658980891719747</v>
      </c>
      <c r="Q199" s="83">
        <f t="shared" si="306"/>
        <v>34.809842675159238</v>
      </c>
      <c r="R199" s="83">
        <f t="shared" si="306"/>
        <v>91.188408280254791</v>
      </c>
      <c r="S199" s="83">
        <f t="shared" si="306"/>
        <v>12.941233757961784</v>
      </c>
      <c r="T199" s="83">
        <f t="shared" si="306"/>
        <v>0.80738535031847136</v>
      </c>
      <c r="U199" s="83">
        <f t="shared" si="306"/>
        <v>31.903255414012744</v>
      </c>
      <c r="V199" s="83">
        <f t="shared" si="306"/>
        <v>0</v>
      </c>
      <c r="W199" s="83">
        <f t="shared" si="306"/>
        <v>0</v>
      </c>
      <c r="X199" s="83">
        <f t="shared" si="306"/>
        <v>66.805370700636942</v>
      </c>
      <c r="Y199" s="83">
        <f t="shared" si="306"/>
        <v>0</v>
      </c>
      <c r="Z199" s="83">
        <f t="shared" si="306"/>
        <v>18.385317834394904</v>
      </c>
      <c r="AA199" s="83">
        <f t="shared" si="306"/>
        <v>13.656346496815287</v>
      </c>
      <c r="AB199" s="83">
        <f t="shared" si="306"/>
        <v>111.81133694267517</v>
      </c>
      <c r="AC199" s="83"/>
      <c r="AD199" s="83"/>
      <c r="AE199" s="83">
        <f t="shared" ref="AE199" si="307">AE187+AE195</f>
        <v>0</v>
      </c>
      <c r="AF199" s="83">
        <f t="shared" si="306"/>
        <v>0</v>
      </c>
      <c r="AG199" s="83">
        <f t="shared" ref="AG199:AH199" si="308">AG187+AG195</f>
        <v>107.93588726114649</v>
      </c>
      <c r="AH199" s="83">
        <f t="shared" si="308"/>
        <v>47.935621656050955</v>
      </c>
      <c r="AI199" s="83">
        <f t="shared" ref="AI199" si="309">AI187+AI195</f>
        <v>3.4140866242038217</v>
      </c>
      <c r="AJ199" s="83">
        <f t="shared" ref="AJ199:AO199" si="310">AJ187+AJ195</f>
        <v>0.76124904458598741</v>
      </c>
      <c r="AK199" s="83">
        <f t="shared" si="310"/>
        <v>1.1072713375796179</v>
      </c>
      <c r="AL199" s="83">
        <f t="shared" si="310"/>
        <v>1.1072713375796179</v>
      </c>
      <c r="AM199" s="83">
        <f t="shared" si="310"/>
        <v>0</v>
      </c>
      <c r="AN199" s="83">
        <f t="shared" si="310"/>
        <v>0</v>
      </c>
      <c r="AO199" s="83">
        <f t="shared" si="310"/>
        <v>0</v>
      </c>
      <c r="AP199" s="83">
        <f t="shared" si="306"/>
        <v>0</v>
      </c>
      <c r="AQ199" s="83">
        <f t="shared" si="306"/>
        <v>0</v>
      </c>
      <c r="AR199" s="83">
        <f t="shared" si="306"/>
        <v>6.5052191082802544</v>
      </c>
      <c r="AS199" s="83">
        <f t="shared" si="306"/>
        <v>9.7578286624203834</v>
      </c>
      <c r="AT199" s="83">
        <f t="shared" si="306"/>
        <v>0</v>
      </c>
      <c r="AU199" s="83">
        <f t="shared" si="306"/>
        <v>0</v>
      </c>
      <c r="AV199" s="83">
        <f t="shared" si="306"/>
        <v>0</v>
      </c>
      <c r="AW199" s="83"/>
      <c r="AX199" s="83"/>
      <c r="AY199" s="83">
        <f t="shared" si="306"/>
        <v>0</v>
      </c>
      <c r="AZ199" s="83">
        <f t="shared" si="306"/>
        <v>0</v>
      </c>
      <c r="BA199" s="83">
        <f t="shared" si="306"/>
        <v>0</v>
      </c>
      <c r="BB199" s="83">
        <f t="shared" si="306"/>
        <v>0</v>
      </c>
      <c r="BC199" s="83">
        <f t="shared" si="306"/>
        <v>0</v>
      </c>
      <c r="BD199" s="83">
        <f t="shared" si="306"/>
        <v>0</v>
      </c>
      <c r="BE199" s="83">
        <f t="shared" si="306"/>
        <v>0</v>
      </c>
      <c r="BF199" s="83">
        <f t="shared" ref="BF199:BL199" si="311">BF187+BF195</f>
        <v>0</v>
      </c>
      <c r="BG199" s="83">
        <f t="shared" si="311"/>
        <v>0</v>
      </c>
      <c r="BH199" s="83">
        <f t="shared" si="311"/>
        <v>0</v>
      </c>
      <c r="BI199" s="83">
        <f t="shared" si="311"/>
        <v>0</v>
      </c>
      <c r="BJ199" s="83">
        <f t="shared" si="311"/>
        <v>0</v>
      </c>
      <c r="BK199" s="83">
        <f t="shared" si="311"/>
        <v>0</v>
      </c>
      <c r="BL199" s="83">
        <f t="shared" si="311"/>
        <v>0</v>
      </c>
      <c r="BM199" s="83">
        <f>SUM(G199:BL199)</f>
        <v>1266.0032974522289</v>
      </c>
      <c r="BS199" s="83"/>
    </row>
    <row r="200" spans="1:71" hidden="1">
      <c r="A200" t="s">
        <v>142</v>
      </c>
      <c r="E200" s="83"/>
      <c r="F200" s="83"/>
      <c r="G200" s="83">
        <f>G188+G196</f>
        <v>9597.7534325091583</v>
      </c>
      <c r="H200" s="83">
        <f t="shared" ref="H200:BE200" si="312">H188+H196</f>
        <v>4423.032965919102</v>
      </c>
      <c r="I200" s="83">
        <f t="shared" si="312"/>
        <v>268.22912277030309</v>
      </c>
      <c r="J200" s="83">
        <f t="shared" si="312"/>
        <v>495.45792474253665</v>
      </c>
      <c r="K200" s="83">
        <f t="shared" si="312"/>
        <v>0</v>
      </c>
      <c r="L200" s="83">
        <f t="shared" si="312"/>
        <v>14039.738953720584</v>
      </c>
      <c r="M200" s="83">
        <f t="shared" si="312"/>
        <v>1891.5995925310688</v>
      </c>
      <c r="N200" s="83">
        <f t="shared" si="312"/>
        <v>3548.0529250802115</v>
      </c>
      <c r="O200" s="83">
        <f t="shared" si="312"/>
        <v>915.3747770299866</v>
      </c>
      <c r="P200" s="83">
        <f t="shared" si="312"/>
        <v>13.322861353420858</v>
      </c>
      <c r="Q200" s="83">
        <f t="shared" si="312"/>
        <v>464.32639013218619</v>
      </c>
      <c r="R200" s="83">
        <f t="shared" si="312"/>
        <v>959.33573368437203</v>
      </c>
      <c r="S200" s="83">
        <f t="shared" si="312"/>
        <v>19.087129649429546</v>
      </c>
      <c r="T200" s="83">
        <f t="shared" si="312"/>
        <v>1.7046085233333084</v>
      </c>
      <c r="U200" s="83">
        <f t="shared" si="312"/>
        <v>384.97237755911715</v>
      </c>
      <c r="V200" s="83">
        <f t="shared" si="312"/>
        <v>0</v>
      </c>
      <c r="W200" s="83">
        <f t="shared" si="312"/>
        <v>0</v>
      </c>
      <c r="X200" s="83">
        <f t="shared" si="312"/>
        <v>922.48478889704791</v>
      </c>
      <c r="Y200" s="83">
        <f t="shared" si="312"/>
        <v>0</v>
      </c>
      <c r="Z200" s="83">
        <f t="shared" si="312"/>
        <v>28.888628658596069</v>
      </c>
      <c r="AA200" s="83">
        <f t="shared" si="312"/>
        <v>133.54262036745419</v>
      </c>
      <c r="AB200" s="83">
        <f t="shared" si="312"/>
        <v>1679.3309732570369</v>
      </c>
      <c r="AC200" s="83"/>
      <c r="AD200" s="83"/>
      <c r="AE200" s="83">
        <f t="shared" ref="AE200" si="313">AE188+AE196</f>
        <v>0</v>
      </c>
      <c r="AF200" s="83">
        <f t="shared" si="312"/>
        <v>0</v>
      </c>
      <c r="AG200" s="83">
        <f t="shared" ref="AG200:AH200" si="314">AG188+AG196</f>
        <v>1844.0275572943588</v>
      </c>
      <c r="AH200" s="83">
        <f t="shared" si="314"/>
        <v>1550.7900331619949</v>
      </c>
      <c r="AI200" s="83">
        <f t="shared" ref="AI200" si="315">AI188+AI196</f>
        <v>5.2035418080700984</v>
      </c>
      <c r="AJ200" s="83">
        <f t="shared" ref="AJ200:AO200" si="316">AJ188+AJ196</f>
        <v>1.3681726305701554</v>
      </c>
      <c r="AK200" s="83">
        <f t="shared" si="316"/>
        <v>1.8840409994736564</v>
      </c>
      <c r="AL200" s="83">
        <f t="shared" si="316"/>
        <v>1.8840409994736564</v>
      </c>
      <c r="AM200" s="83">
        <f t="shared" si="316"/>
        <v>0</v>
      </c>
      <c r="AN200" s="83">
        <f t="shared" si="316"/>
        <v>0</v>
      </c>
      <c r="AO200" s="83">
        <f t="shared" si="316"/>
        <v>0</v>
      </c>
      <c r="AP200" s="83">
        <f t="shared" si="312"/>
        <v>0</v>
      </c>
      <c r="AQ200" s="83">
        <f t="shared" si="312"/>
        <v>0</v>
      </c>
      <c r="AR200" s="83">
        <f t="shared" si="312"/>
        <v>9.9136443067542412</v>
      </c>
      <c r="AS200" s="83">
        <f t="shared" si="312"/>
        <v>37.411671275262606</v>
      </c>
      <c r="AT200" s="83">
        <f t="shared" si="312"/>
        <v>0</v>
      </c>
      <c r="AU200" s="83">
        <f t="shared" si="312"/>
        <v>0</v>
      </c>
      <c r="AV200" s="83">
        <f t="shared" si="312"/>
        <v>0</v>
      </c>
      <c r="AW200" s="83"/>
      <c r="AX200" s="83"/>
      <c r="AY200" s="83">
        <f t="shared" si="312"/>
        <v>0</v>
      </c>
      <c r="AZ200" s="83">
        <f t="shared" si="312"/>
        <v>0</v>
      </c>
      <c r="BA200" s="83">
        <f t="shared" si="312"/>
        <v>0</v>
      </c>
      <c r="BB200" s="83">
        <f t="shared" si="312"/>
        <v>0</v>
      </c>
      <c r="BC200" s="83">
        <f t="shared" si="312"/>
        <v>0</v>
      </c>
      <c r="BD200" s="83">
        <f t="shared" si="312"/>
        <v>0</v>
      </c>
      <c r="BE200" s="83">
        <f t="shared" si="312"/>
        <v>0</v>
      </c>
      <c r="BF200" s="83">
        <f t="shared" ref="BF200:BL200" si="317">BF188+BF196</f>
        <v>0</v>
      </c>
      <c r="BG200" s="83">
        <f t="shared" si="317"/>
        <v>0</v>
      </c>
      <c r="BH200" s="83">
        <f t="shared" si="317"/>
        <v>0</v>
      </c>
      <c r="BI200" s="83">
        <f t="shared" si="317"/>
        <v>0</v>
      </c>
      <c r="BJ200" s="83">
        <f t="shared" si="317"/>
        <v>0</v>
      </c>
      <c r="BK200" s="83">
        <f t="shared" si="317"/>
        <v>0</v>
      </c>
      <c r="BL200" s="83">
        <f t="shared" si="317"/>
        <v>0</v>
      </c>
      <c r="BM200" s="83">
        <f>SUM(G200:BL200)</f>
        <v>43238.718508860904</v>
      </c>
      <c r="BS200" s="83"/>
    </row>
    <row r="201" spans="1:71" hidden="1"/>
    <row r="202" spans="1:71" hidden="1">
      <c r="A202" t="s">
        <v>156</v>
      </c>
      <c r="G202">
        <v>111.87860000000001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 s="109">
        <v>111.87860000000001</v>
      </c>
      <c r="BN202">
        <v>0</v>
      </c>
      <c r="BO202">
        <f>BM202+BN202</f>
        <v>111.87860000000001</v>
      </c>
      <c r="BS202" s="109"/>
    </row>
    <row r="203" spans="1:71" hidden="1">
      <c r="A203" t="s">
        <v>157</v>
      </c>
      <c r="G203">
        <v>2892.6314000000002</v>
      </c>
      <c r="H203">
        <v>46.741400000000006</v>
      </c>
      <c r="I203">
        <v>445.43379999999996</v>
      </c>
      <c r="J203">
        <v>0</v>
      </c>
      <c r="K203">
        <v>833.72320000000013</v>
      </c>
      <c r="L203">
        <v>0</v>
      </c>
      <c r="M203">
        <v>1679.0442</v>
      </c>
      <c r="N203">
        <v>289.24459999999999</v>
      </c>
      <c r="O203">
        <v>0</v>
      </c>
      <c r="P203">
        <v>0</v>
      </c>
      <c r="Q203">
        <v>0</v>
      </c>
      <c r="R203">
        <v>62.500399999999999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58.71</v>
      </c>
      <c r="AA203">
        <v>0</v>
      </c>
      <c r="AB203">
        <v>0</v>
      </c>
      <c r="AE203">
        <v>0</v>
      </c>
      <c r="AF203">
        <v>0</v>
      </c>
      <c r="AG203">
        <v>7592.1918000000005</v>
      </c>
      <c r="AH203">
        <v>4423.335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38.501400000000004</v>
      </c>
      <c r="AP203">
        <v>73.377200000000002</v>
      </c>
      <c r="AQ203">
        <v>0</v>
      </c>
      <c r="AR203">
        <v>452.0052</v>
      </c>
      <c r="AS203">
        <v>171.4332</v>
      </c>
      <c r="AT203">
        <v>0</v>
      </c>
      <c r="AU203">
        <v>0</v>
      </c>
      <c r="AV203">
        <v>3673.8864000000003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 s="109">
        <v>22732.759199999997</v>
      </c>
      <c r="BN203">
        <v>1466.22</v>
      </c>
      <c r="BO203">
        <f>BM203+BN203</f>
        <v>24198.979199999998</v>
      </c>
      <c r="BS203" s="109"/>
    </row>
    <row r="204" spans="1:71" hidden="1">
      <c r="A204" t="s">
        <v>158</v>
      </c>
      <c r="G204">
        <v>6469.7390000000005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352.26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E204">
        <v>0</v>
      </c>
      <c r="AF204">
        <v>0</v>
      </c>
      <c r="AG204">
        <v>152.19280000000001</v>
      </c>
      <c r="AH204">
        <v>512.81640000000004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240.196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 s="109">
        <v>7727.2042000000001</v>
      </c>
      <c r="BN204">
        <v>0</v>
      </c>
      <c r="BO204">
        <f>BM204+BN204</f>
        <v>7727.2042000000001</v>
      </c>
      <c r="BS204" s="109"/>
    </row>
    <row r="205" spans="1:71" hidden="1"/>
    <row r="206" spans="1:71" hidden="1">
      <c r="A206" t="s">
        <v>156</v>
      </c>
      <c r="E206" s="77"/>
      <c r="F206" s="77"/>
      <c r="G206" s="77">
        <f t="shared" ref="G206:AB206" si="318">G202/$BM$202</f>
        <v>1</v>
      </c>
      <c r="H206" s="77">
        <f t="shared" si="318"/>
        <v>0</v>
      </c>
      <c r="I206" s="77">
        <f t="shared" si="318"/>
        <v>0</v>
      </c>
      <c r="J206" s="77">
        <f t="shared" si="318"/>
        <v>0</v>
      </c>
      <c r="K206" s="77">
        <f t="shared" si="318"/>
        <v>0</v>
      </c>
      <c r="L206" s="77">
        <f t="shared" si="318"/>
        <v>0</v>
      </c>
      <c r="M206" s="77">
        <f t="shared" si="318"/>
        <v>0</v>
      </c>
      <c r="N206" s="77">
        <f t="shared" si="318"/>
        <v>0</v>
      </c>
      <c r="O206" s="77">
        <f t="shared" si="318"/>
        <v>0</v>
      </c>
      <c r="P206" s="77">
        <f t="shared" si="318"/>
        <v>0</v>
      </c>
      <c r="Q206" s="77">
        <f t="shared" si="318"/>
        <v>0</v>
      </c>
      <c r="R206" s="77">
        <f t="shared" si="318"/>
        <v>0</v>
      </c>
      <c r="S206" s="77">
        <f t="shared" si="318"/>
        <v>0</v>
      </c>
      <c r="T206" s="77">
        <f t="shared" si="318"/>
        <v>0</v>
      </c>
      <c r="U206" s="77">
        <f t="shared" si="318"/>
        <v>0</v>
      </c>
      <c r="V206" s="77">
        <f t="shared" si="318"/>
        <v>0</v>
      </c>
      <c r="W206" s="77">
        <f t="shared" si="318"/>
        <v>0</v>
      </c>
      <c r="X206" s="77">
        <f t="shared" si="318"/>
        <v>0</v>
      </c>
      <c r="Y206" s="77">
        <f t="shared" si="318"/>
        <v>0</v>
      </c>
      <c r="Z206" s="77">
        <f t="shared" si="318"/>
        <v>0</v>
      </c>
      <c r="AA206" s="77">
        <f t="shared" si="318"/>
        <v>0</v>
      </c>
      <c r="AB206" s="77">
        <f t="shared" si="318"/>
        <v>0</v>
      </c>
      <c r="AC206" s="77"/>
      <c r="AD206" s="77"/>
      <c r="AE206" s="77">
        <f t="shared" ref="AE206:AV206" si="319">AE202/$BM$202</f>
        <v>0</v>
      </c>
      <c r="AF206" s="77">
        <f t="shared" si="319"/>
        <v>0</v>
      </c>
      <c r="AG206" s="77">
        <f t="shared" si="319"/>
        <v>0</v>
      </c>
      <c r="AH206" s="77">
        <f t="shared" si="319"/>
        <v>0</v>
      </c>
      <c r="AI206" s="77">
        <f t="shared" si="319"/>
        <v>0</v>
      </c>
      <c r="AJ206" s="77">
        <f t="shared" si="319"/>
        <v>0</v>
      </c>
      <c r="AK206" s="77">
        <f t="shared" si="319"/>
        <v>0</v>
      </c>
      <c r="AL206" s="77">
        <f t="shared" si="319"/>
        <v>0</v>
      </c>
      <c r="AM206" s="77">
        <f t="shared" si="319"/>
        <v>0</v>
      </c>
      <c r="AN206" s="77">
        <f t="shared" si="319"/>
        <v>0</v>
      </c>
      <c r="AO206" s="77">
        <f t="shared" si="319"/>
        <v>0</v>
      </c>
      <c r="AP206" s="77">
        <f t="shared" si="319"/>
        <v>0</v>
      </c>
      <c r="AQ206" s="77">
        <f t="shared" si="319"/>
        <v>0</v>
      </c>
      <c r="AR206" s="77">
        <f t="shared" si="319"/>
        <v>0</v>
      </c>
      <c r="AS206" s="77">
        <f t="shared" si="319"/>
        <v>0</v>
      </c>
      <c r="AT206" s="77">
        <f t="shared" si="319"/>
        <v>0</v>
      </c>
      <c r="AU206" s="77">
        <f t="shared" si="319"/>
        <v>0</v>
      </c>
      <c r="AV206" s="77">
        <f t="shared" si="319"/>
        <v>0</v>
      </c>
      <c r="AW206" s="77"/>
      <c r="AX206" s="77"/>
      <c r="AY206" s="77">
        <f t="shared" ref="AY206:BL206" si="320">AY202/$BM$202</f>
        <v>0</v>
      </c>
      <c r="AZ206" s="77">
        <f t="shared" si="320"/>
        <v>0</v>
      </c>
      <c r="BA206" s="77">
        <f t="shared" si="320"/>
        <v>0</v>
      </c>
      <c r="BB206" s="77">
        <f t="shared" si="320"/>
        <v>0</v>
      </c>
      <c r="BC206" s="77">
        <f t="shared" si="320"/>
        <v>0</v>
      </c>
      <c r="BD206" s="77">
        <f t="shared" si="320"/>
        <v>0</v>
      </c>
      <c r="BE206" s="77">
        <f t="shared" si="320"/>
        <v>0</v>
      </c>
      <c r="BF206" s="77">
        <f t="shared" si="320"/>
        <v>0</v>
      </c>
      <c r="BG206" s="77">
        <f t="shared" si="320"/>
        <v>0</v>
      </c>
      <c r="BH206" s="77">
        <f t="shared" si="320"/>
        <v>0</v>
      </c>
      <c r="BI206" s="77">
        <f t="shared" si="320"/>
        <v>0</v>
      </c>
      <c r="BJ206" s="77">
        <f t="shared" si="320"/>
        <v>0</v>
      </c>
      <c r="BK206" s="77">
        <f t="shared" si="320"/>
        <v>0</v>
      </c>
      <c r="BL206" s="77">
        <f t="shared" si="320"/>
        <v>0</v>
      </c>
      <c r="BM206" s="77">
        <f>SUM(G206:BL206)</f>
        <v>1</v>
      </c>
      <c r="BS206" s="77"/>
    </row>
    <row r="207" spans="1:71" hidden="1">
      <c r="A207" t="s">
        <v>157</v>
      </c>
      <c r="E207" s="77"/>
      <c r="F207" s="77"/>
      <c r="G207" s="77">
        <f t="shared" ref="G207:AB207" si="321">G203/$BM$203</f>
        <v>0.12724506403076669</v>
      </c>
      <c r="H207" s="77">
        <f t="shared" si="321"/>
        <v>2.056125241497302E-3</v>
      </c>
      <c r="I207" s="77">
        <f t="shared" si="321"/>
        <v>1.9594357028160491E-2</v>
      </c>
      <c r="J207" s="77">
        <f t="shared" si="321"/>
        <v>0</v>
      </c>
      <c r="K207" s="77">
        <f t="shared" si="321"/>
        <v>3.6674967286857124E-2</v>
      </c>
      <c r="L207" s="77">
        <f t="shared" si="321"/>
        <v>0</v>
      </c>
      <c r="M207" s="77">
        <f t="shared" si="321"/>
        <v>7.3860114613803693E-2</v>
      </c>
      <c r="N207" s="77">
        <f t="shared" si="321"/>
        <v>1.272369083995752E-2</v>
      </c>
      <c r="O207" s="77">
        <f t="shared" si="321"/>
        <v>0</v>
      </c>
      <c r="P207" s="77">
        <f t="shared" si="321"/>
        <v>0</v>
      </c>
      <c r="Q207" s="77">
        <f t="shared" si="321"/>
        <v>0</v>
      </c>
      <c r="R207" s="77">
        <f t="shared" si="321"/>
        <v>2.749353892773386E-3</v>
      </c>
      <c r="S207" s="77">
        <f t="shared" si="321"/>
        <v>0</v>
      </c>
      <c r="T207" s="77">
        <f t="shared" si="321"/>
        <v>0</v>
      </c>
      <c r="U207" s="77">
        <f t="shared" si="321"/>
        <v>0</v>
      </c>
      <c r="V207" s="77">
        <f t="shared" si="321"/>
        <v>0</v>
      </c>
      <c r="W207" s="77">
        <f t="shared" si="321"/>
        <v>0</v>
      </c>
      <c r="X207" s="77">
        <f t="shared" si="321"/>
        <v>0</v>
      </c>
      <c r="Y207" s="77">
        <f t="shared" si="321"/>
        <v>0</v>
      </c>
      <c r="Z207" s="77">
        <f t="shared" si="321"/>
        <v>2.5826165439697267E-3</v>
      </c>
      <c r="AA207" s="77">
        <f t="shared" si="321"/>
        <v>0</v>
      </c>
      <c r="AB207" s="77">
        <f t="shared" si="321"/>
        <v>0</v>
      </c>
      <c r="AC207" s="77"/>
      <c r="AD207" s="77"/>
      <c r="AE207" s="77">
        <f t="shared" ref="AE207:AV207" si="322">AE203/$BM$203</f>
        <v>0</v>
      </c>
      <c r="AF207" s="77">
        <f t="shared" si="322"/>
        <v>0</v>
      </c>
      <c r="AG207" s="77">
        <f t="shared" si="322"/>
        <v>0.3339758158349736</v>
      </c>
      <c r="AH207" s="77">
        <f t="shared" si="322"/>
        <v>0.19457976751014019</v>
      </c>
      <c r="AI207" s="77">
        <f t="shared" si="322"/>
        <v>0</v>
      </c>
      <c r="AJ207" s="77">
        <f t="shared" si="322"/>
        <v>0</v>
      </c>
      <c r="AK207" s="77">
        <f t="shared" si="322"/>
        <v>0</v>
      </c>
      <c r="AL207" s="77">
        <f t="shared" si="322"/>
        <v>0</v>
      </c>
      <c r="AM207" s="77">
        <f t="shared" si="322"/>
        <v>0</v>
      </c>
      <c r="AN207" s="77">
        <f t="shared" si="322"/>
        <v>0</v>
      </c>
      <c r="AO207" s="77">
        <f t="shared" si="322"/>
        <v>1.693652744098042E-3</v>
      </c>
      <c r="AP207" s="77">
        <f t="shared" si="322"/>
        <v>3.2278175893404094E-3</v>
      </c>
      <c r="AQ207" s="77">
        <f t="shared" si="322"/>
        <v>0</v>
      </c>
      <c r="AR207" s="77">
        <f t="shared" si="322"/>
        <v>1.98834288448364E-2</v>
      </c>
      <c r="AS207" s="77">
        <f t="shared" si="322"/>
        <v>7.5412403083916016E-3</v>
      </c>
      <c r="AT207" s="77">
        <f t="shared" si="322"/>
        <v>0</v>
      </c>
      <c r="AU207" s="77">
        <f t="shared" si="322"/>
        <v>0</v>
      </c>
      <c r="AV207" s="77">
        <f t="shared" si="322"/>
        <v>0.16161198769043403</v>
      </c>
      <c r="AW207" s="77"/>
      <c r="AX207" s="77"/>
      <c r="AY207" s="77">
        <f t="shared" ref="AY207:BL207" si="323">AY203/$BM$203</f>
        <v>0</v>
      </c>
      <c r="AZ207" s="77">
        <f t="shared" si="323"/>
        <v>0</v>
      </c>
      <c r="BA207" s="77">
        <f t="shared" si="323"/>
        <v>0</v>
      </c>
      <c r="BB207" s="77">
        <f t="shared" si="323"/>
        <v>0</v>
      </c>
      <c r="BC207" s="77">
        <f t="shared" si="323"/>
        <v>0</v>
      </c>
      <c r="BD207" s="77">
        <f t="shared" si="323"/>
        <v>0</v>
      </c>
      <c r="BE207" s="77">
        <f t="shared" si="323"/>
        <v>0</v>
      </c>
      <c r="BF207" s="77">
        <f t="shared" si="323"/>
        <v>0</v>
      </c>
      <c r="BG207" s="77">
        <f t="shared" si="323"/>
        <v>0</v>
      </c>
      <c r="BH207" s="77">
        <f t="shared" si="323"/>
        <v>0</v>
      </c>
      <c r="BI207" s="77">
        <f t="shared" si="323"/>
        <v>0</v>
      </c>
      <c r="BJ207" s="77">
        <f t="shared" si="323"/>
        <v>0</v>
      </c>
      <c r="BK207" s="77">
        <f t="shared" si="323"/>
        <v>0</v>
      </c>
      <c r="BL207" s="77">
        <f t="shared" si="323"/>
        <v>0</v>
      </c>
      <c r="BM207" s="77">
        <f>SUM(G207:BL207)</f>
        <v>1.0000000000000002</v>
      </c>
      <c r="BS207" s="77"/>
    </row>
    <row r="208" spans="1:71" hidden="1">
      <c r="A208" t="s">
        <v>158</v>
      </c>
      <c r="E208" s="77"/>
      <c r="F208" s="77"/>
      <c r="G208" s="77">
        <f t="shared" ref="G208:AB208" si="324">G204/$BM$204</f>
        <v>0.83726776626402599</v>
      </c>
      <c r="H208" s="77">
        <f t="shared" si="324"/>
        <v>0</v>
      </c>
      <c r="I208" s="77">
        <f t="shared" si="324"/>
        <v>0</v>
      </c>
      <c r="J208" s="77">
        <f t="shared" si="324"/>
        <v>0</v>
      </c>
      <c r="K208" s="77">
        <f t="shared" si="324"/>
        <v>0</v>
      </c>
      <c r="L208" s="77">
        <f t="shared" si="324"/>
        <v>0</v>
      </c>
      <c r="M208" s="77">
        <f t="shared" si="324"/>
        <v>0</v>
      </c>
      <c r="N208" s="77">
        <f t="shared" si="324"/>
        <v>0</v>
      </c>
      <c r="O208" s="77">
        <f t="shared" si="324"/>
        <v>4.5586992511470061E-2</v>
      </c>
      <c r="P208" s="77">
        <f t="shared" si="324"/>
        <v>0</v>
      </c>
      <c r="Q208" s="77">
        <f t="shared" si="324"/>
        <v>0</v>
      </c>
      <c r="R208" s="77">
        <f t="shared" si="324"/>
        <v>0</v>
      </c>
      <c r="S208" s="77">
        <f t="shared" si="324"/>
        <v>0</v>
      </c>
      <c r="T208" s="77">
        <f t="shared" si="324"/>
        <v>0</v>
      </c>
      <c r="U208" s="77">
        <f t="shared" si="324"/>
        <v>0</v>
      </c>
      <c r="V208" s="77">
        <f t="shared" si="324"/>
        <v>0</v>
      </c>
      <c r="W208" s="77">
        <f t="shared" si="324"/>
        <v>0</v>
      </c>
      <c r="X208" s="77">
        <f t="shared" si="324"/>
        <v>0</v>
      </c>
      <c r="Y208" s="77">
        <f t="shared" si="324"/>
        <v>0</v>
      </c>
      <c r="Z208" s="77">
        <f t="shared" si="324"/>
        <v>0</v>
      </c>
      <c r="AA208" s="77">
        <f t="shared" si="324"/>
        <v>0</v>
      </c>
      <c r="AB208" s="77">
        <f t="shared" si="324"/>
        <v>0</v>
      </c>
      <c r="AC208" s="77"/>
      <c r="AD208" s="77"/>
      <c r="AE208" s="77">
        <f t="shared" ref="AE208:AV208" si="325">AE204/$BM$204</f>
        <v>0</v>
      </c>
      <c r="AF208" s="77">
        <f t="shared" si="325"/>
        <v>0</v>
      </c>
      <c r="AG208" s="77">
        <f t="shared" si="325"/>
        <v>1.9695713489750924E-2</v>
      </c>
      <c r="AH208" s="77">
        <f t="shared" si="325"/>
        <v>6.6365063835119045E-2</v>
      </c>
      <c r="AI208" s="77">
        <f t="shared" si="325"/>
        <v>0</v>
      </c>
      <c r="AJ208" s="77">
        <f t="shared" si="325"/>
        <v>0</v>
      </c>
      <c r="AK208" s="77">
        <f t="shared" si="325"/>
        <v>0</v>
      </c>
      <c r="AL208" s="77">
        <f t="shared" si="325"/>
        <v>0</v>
      </c>
      <c r="AM208" s="77">
        <f t="shared" si="325"/>
        <v>0</v>
      </c>
      <c r="AN208" s="77">
        <f t="shared" si="325"/>
        <v>0</v>
      </c>
      <c r="AO208" s="77">
        <f t="shared" si="325"/>
        <v>0</v>
      </c>
      <c r="AP208" s="77">
        <f t="shared" si="325"/>
        <v>0</v>
      </c>
      <c r="AQ208" s="77">
        <f t="shared" si="325"/>
        <v>0</v>
      </c>
      <c r="AR208" s="77">
        <f t="shared" si="325"/>
        <v>0</v>
      </c>
      <c r="AS208" s="77">
        <f t="shared" si="325"/>
        <v>0</v>
      </c>
      <c r="AT208" s="77">
        <f t="shared" si="325"/>
        <v>0</v>
      </c>
      <c r="AU208" s="77">
        <f t="shared" si="325"/>
        <v>0</v>
      </c>
      <c r="AV208" s="77">
        <f t="shared" si="325"/>
        <v>3.1084463899633971E-2</v>
      </c>
      <c r="AW208" s="77"/>
      <c r="AX208" s="77"/>
      <c r="AY208" s="77">
        <f t="shared" ref="AY208:BL208" si="326">AY204/$BM$204</f>
        <v>0</v>
      </c>
      <c r="AZ208" s="77">
        <f t="shared" si="326"/>
        <v>0</v>
      </c>
      <c r="BA208" s="77">
        <f t="shared" si="326"/>
        <v>0</v>
      </c>
      <c r="BB208" s="77">
        <f t="shared" si="326"/>
        <v>0</v>
      </c>
      <c r="BC208" s="77">
        <f t="shared" si="326"/>
        <v>0</v>
      </c>
      <c r="BD208" s="77">
        <f t="shared" si="326"/>
        <v>0</v>
      </c>
      <c r="BE208" s="77">
        <f t="shared" si="326"/>
        <v>0</v>
      </c>
      <c r="BF208" s="77">
        <f t="shared" si="326"/>
        <v>0</v>
      </c>
      <c r="BG208" s="77">
        <f t="shared" si="326"/>
        <v>0</v>
      </c>
      <c r="BH208" s="77">
        <f t="shared" si="326"/>
        <v>0</v>
      </c>
      <c r="BI208" s="77">
        <f t="shared" si="326"/>
        <v>0</v>
      </c>
      <c r="BJ208" s="77">
        <f t="shared" si="326"/>
        <v>0</v>
      </c>
      <c r="BK208" s="77">
        <f t="shared" si="326"/>
        <v>0</v>
      </c>
      <c r="BL208" s="77">
        <f t="shared" si="326"/>
        <v>0</v>
      </c>
      <c r="BM208" s="77">
        <f>SUM(G208:BL208)</f>
        <v>1</v>
      </c>
      <c r="BS208" s="77"/>
    </row>
    <row r="209" spans="1:71" hidden="1"/>
    <row r="210" spans="1:71" hidden="1">
      <c r="A210" t="s">
        <v>156</v>
      </c>
      <c r="E210" s="83"/>
      <c r="F210" s="83"/>
      <c r="G210" s="83">
        <f t="shared" ref="G210:AB210" si="327">$BN$202*G206</f>
        <v>0</v>
      </c>
      <c r="H210" s="83">
        <f t="shared" si="327"/>
        <v>0</v>
      </c>
      <c r="I210" s="83">
        <f t="shared" si="327"/>
        <v>0</v>
      </c>
      <c r="J210" s="83">
        <f t="shared" si="327"/>
        <v>0</v>
      </c>
      <c r="K210" s="83">
        <f t="shared" si="327"/>
        <v>0</v>
      </c>
      <c r="L210" s="83">
        <f t="shared" si="327"/>
        <v>0</v>
      </c>
      <c r="M210" s="83">
        <f t="shared" si="327"/>
        <v>0</v>
      </c>
      <c r="N210" s="83">
        <f t="shared" si="327"/>
        <v>0</v>
      </c>
      <c r="O210" s="83">
        <f t="shared" si="327"/>
        <v>0</v>
      </c>
      <c r="P210" s="83">
        <f t="shared" si="327"/>
        <v>0</v>
      </c>
      <c r="Q210" s="83">
        <f t="shared" si="327"/>
        <v>0</v>
      </c>
      <c r="R210" s="83">
        <f t="shared" si="327"/>
        <v>0</v>
      </c>
      <c r="S210" s="83">
        <f t="shared" si="327"/>
        <v>0</v>
      </c>
      <c r="T210" s="83">
        <f t="shared" si="327"/>
        <v>0</v>
      </c>
      <c r="U210" s="83">
        <f t="shared" si="327"/>
        <v>0</v>
      </c>
      <c r="V210" s="83">
        <f t="shared" si="327"/>
        <v>0</v>
      </c>
      <c r="W210" s="83">
        <f t="shared" si="327"/>
        <v>0</v>
      </c>
      <c r="X210" s="83">
        <f t="shared" si="327"/>
        <v>0</v>
      </c>
      <c r="Y210" s="83">
        <f t="shared" si="327"/>
        <v>0</v>
      </c>
      <c r="Z210" s="83">
        <f t="shared" si="327"/>
        <v>0</v>
      </c>
      <c r="AA210" s="83">
        <f t="shared" si="327"/>
        <v>0</v>
      </c>
      <c r="AB210" s="83">
        <f t="shared" si="327"/>
        <v>0</v>
      </c>
      <c r="AC210" s="83"/>
      <c r="AD210" s="83"/>
      <c r="AE210" s="83">
        <f t="shared" ref="AE210:AV210" si="328">$BN$202*AE206</f>
        <v>0</v>
      </c>
      <c r="AF210" s="83">
        <f t="shared" si="328"/>
        <v>0</v>
      </c>
      <c r="AG210" s="83">
        <f t="shared" si="328"/>
        <v>0</v>
      </c>
      <c r="AH210" s="83">
        <f t="shared" si="328"/>
        <v>0</v>
      </c>
      <c r="AI210" s="83">
        <f t="shared" si="328"/>
        <v>0</v>
      </c>
      <c r="AJ210" s="83">
        <f t="shared" si="328"/>
        <v>0</v>
      </c>
      <c r="AK210" s="83">
        <f t="shared" si="328"/>
        <v>0</v>
      </c>
      <c r="AL210" s="83">
        <f t="shared" si="328"/>
        <v>0</v>
      </c>
      <c r="AM210" s="83">
        <f t="shared" si="328"/>
        <v>0</v>
      </c>
      <c r="AN210" s="83">
        <f t="shared" si="328"/>
        <v>0</v>
      </c>
      <c r="AO210" s="83">
        <f t="shared" si="328"/>
        <v>0</v>
      </c>
      <c r="AP210" s="83">
        <f t="shared" si="328"/>
        <v>0</v>
      </c>
      <c r="AQ210" s="83">
        <f t="shared" si="328"/>
        <v>0</v>
      </c>
      <c r="AR210" s="83">
        <f t="shared" si="328"/>
        <v>0</v>
      </c>
      <c r="AS210" s="83">
        <f t="shared" si="328"/>
        <v>0</v>
      </c>
      <c r="AT210" s="83">
        <f t="shared" si="328"/>
        <v>0</v>
      </c>
      <c r="AU210" s="83">
        <f t="shared" si="328"/>
        <v>0</v>
      </c>
      <c r="AV210" s="83">
        <f t="shared" si="328"/>
        <v>0</v>
      </c>
      <c r="AW210" s="83"/>
      <c r="AX210" s="83"/>
      <c r="AY210" s="83">
        <f t="shared" ref="AY210:BL210" si="329">$BN$202*AY206</f>
        <v>0</v>
      </c>
      <c r="AZ210" s="83">
        <f t="shared" si="329"/>
        <v>0</v>
      </c>
      <c r="BA210" s="83">
        <f t="shared" si="329"/>
        <v>0</v>
      </c>
      <c r="BB210" s="83">
        <f t="shared" si="329"/>
        <v>0</v>
      </c>
      <c r="BC210" s="83">
        <f t="shared" si="329"/>
        <v>0</v>
      </c>
      <c r="BD210" s="83">
        <f t="shared" si="329"/>
        <v>0</v>
      </c>
      <c r="BE210" s="83">
        <f t="shared" si="329"/>
        <v>0</v>
      </c>
      <c r="BF210" s="83">
        <f t="shared" si="329"/>
        <v>0</v>
      </c>
      <c r="BG210" s="83">
        <f t="shared" si="329"/>
        <v>0</v>
      </c>
      <c r="BH210" s="83">
        <f t="shared" si="329"/>
        <v>0</v>
      </c>
      <c r="BI210" s="83">
        <f t="shared" si="329"/>
        <v>0</v>
      </c>
      <c r="BJ210" s="83">
        <f t="shared" si="329"/>
        <v>0</v>
      </c>
      <c r="BK210" s="83">
        <f t="shared" si="329"/>
        <v>0</v>
      </c>
      <c r="BL210" s="83">
        <f t="shared" si="329"/>
        <v>0</v>
      </c>
      <c r="BM210" s="83">
        <f>SUM(G210:BL210)</f>
        <v>0</v>
      </c>
      <c r="BS210" s="83"/>
    </row>
    <row r="211" spans="1:71" hidden="1">
      <c r="A211" t="s">
        <v>157</v>
      </c>
      <c r="E211" s="83"/>
      <c r="F211" s="83"/>
      <c r="G211" s="83">
        <f t="shared" ref="G211:AB211" si="330">$BN$203*G207</f>
        <v>186.56925778319072</v>
      </c>
      <c r="H211" s="83">
        <f t="shared" si="330"/>
        <v>3.0147319515881743</v>
      </c>
      <c r="I211" s="83">
        <f t="shared" si="330"/>
        <v>28.729638161829477</v>
      </c>
      <c r="J211" s="83">
        <f t="shared" si="330"/>
        <v>0</v>
      </c>
      <c r="K211" s="83">
        <f t="shared" si="330"/>
        <v>53.773570535335651</v>
      </c>
      <c r="L211" s="83">
        <f t="shared" si="330"/>
        <v>0</v>
      </c>
      <c r="M211" s="83">
        <f t="shared" si="330"/>
        <v>108.29517724905125</v>
      </c>
      <c r="N211" s="83">
        <f t="shared" si="330"/>
        <v>18.655729983362516</v>
      </c>
      <c r="O211" s="83">
        <f t="shared" si="330"/>
        <v>0</v>
      </c>
      <c r="P211" s="83">
        <f t="shared" si="330"/>
        <v>0</v>
      </c>
      <c r="Q211" s="83">
        <f t="shared" si="330"/>
        <v>0</v>
      </c>
      <c r="R211" s="83">
        <f t="shared" si="330"/>
        <v>4.0311576646621941</v>
      </c>
      <c r="S211" s="83">
        <f t="shared" si="330"/>
        <v>0</v>
      </c>
      <c r="T211" s="83">
        <f t="shared" si="330"/>
        <v>0</v>
      </c>
      <c r="U211" s="83">
        <f t="shared" si="330"/>
        <v>0</v>
      </c>
      <c r="V211" s="83">
        <f t="shared" si="330"/>
        <v>0</v>
      </c>
      <c r="W211" s="83">
        <f t="shared" si="330"/>
        <v>0</v>
      </c>
      <c r="X211" s="83">
        <f t="shared" si="330"/>
        <v>0</v>
      </c>
      <c r="Y211" s="83">
        <f t="shared" si="330"/>
        <v>0</v>
      </c>
      <c r="Z211" s="83">
        <f t="shared" si="330"/>
        <v>3.7866840290992929</v>
      </c>
      <c r="AA211" s="83">
        <f t="shared" si="330"/>
        <v>0</v>
      </c>
      <c r="AB211" s="83">
        <f t="shared" si="330"/>
        <v>0</v>
      </c>
      <c r="AC211" s="83"/>
      <c r="AD211" s="83"/>
      <c r="AE211" s="83">
        <f t="shared" ref="AE211:AV211" si="331">$BN$203*AE207</f>
        <v>0</v>
      </c>
      <c r="AF211" s="83">
        <f t="shared" si="331"/>
        <v>0</v>
      </c>
      <c r="AG211" s="83">
        <f t="shared" si="331"/>
        <v>489.68202069355499</v>
      </c>
      <c r="AH211" s="83">
        <f t="shared" si="331"/>
        <v>285.29674671871777</v>
      </c>
      <c r="AI211" s="83">
        <f t="shared" si="331"/>
        <v>0</v>
      </c>
      <c r="AJ211" s="83">
        <f t="shared" si="331"/>
        <v>0</v>
      </c>
      <c r="AK211" s="83">
        <f t="shared" si="331"/>
        <v>0</v>
      </c>
      <c r="AL211" s="83">
        <f t="shared" si="331"/>
        <v>0</v>
      </c>
      <c r="AM211" s="83">
        <f t="shared" si="331"/>
        <v>0</v>
      </c>
      <c r="AN211" s="83">
        <f t="shared" si="331"/>
        <v>0</v>
      </c>
      <c r="AO211" s="83">
        <f t="shared" si="331"/>
        <v>2.483267526451431</v>
      </c>
      <c r="AP211" s="83">
        <f t="shared" si="331"/>
        <v>4.7326907058426952</v>
      </c>
      <c r="AQ211" s="83">
        <f t="shared" si="331"/>
        <v>0</v>
      </c>
      <c r="AR211" s="83">
        <f t="shared" si="331"/>
        <v>29.153481040876027</v>
      </c>
      <c r="AS211" s="83">
        <f t="shared" si="331"/>
        <v>11.057117364969935</v>
      </c>
      <c r="AT211" s="83">
        <f t="shared" si="331"/>
        <v>0</v>
      </c>
      <c r="AU211" s="83">
        <f t="shared" si="331"/>
        <v>0</v>
      </c>
      <c r="AV211" s="83">
        <f t="shared" si="331"/>
        <v>236.95872859146817</v>
      </c>
      <c r="AW211" s="83"/>
      <c r="AX211" s="83"/>
      <c r="AY211" s="83">
        <f t="shared" ref="AY211:BL211" si="332">$BN$203*AY207</f>
        <v>0</v>
      </c>
      <c r="AZ211" s="83">
        <f t="shared" si="332"/>
        <v>0</v>
      </c>
      <c r="BA211" s="83">
        <f t="shared" si="332"/>
        <v>0</v>
      </c>
      <c r="BB211" s="83">
        <f t="shared" si="332"/>
        <v>0</v>
      </c>
      <c r="BC211" s="83">
        <f t="shared" si="332"/>
        <v>0</v>
      </c>
      <c r="BD211" s="83">
        <f t="shared" si="332"/>
        <v>0</v>
      </c>
      <c r="BE211" s="83">
        <f t="shared" si="332"/>
        <v>0</v>
      </c>
      <c r="BF211" s="83">
        <f t="shared" si="332"/>
        <v>0</v>
      </c>
      <c r="BG211" s="83">
        <f t="shared" si="332"/>
        <v>0</v>
      </c>
      <c r="BH211" s="83">
        <f t="shared" si="332"/>
        <v>0</v>
      </c>
      <c r="BI211" s="83">
        <f t="shared" si="332"/>
        <v>0</v>
      </c>
      <c r="BJ211" s="83">
        <f t="shared" si="332"/>
        <v>0</v>
      </c>
      <c r="BK211" s="83">
        <f t="shared" si="332"/>
        <v>0</v>
      </c>
      <c r="BL211" s="83">
        <f t="shared" si="332"/>
        <v>0</v>
      </c>
      <c r="BM211" s="83">
        <f>SUM(G211:BL211)</f>
        <v>1466.2200000000003</v>
      </c>
      <c r="BS211" s="83"/>
    </row>
    <row r="212" spans="1:71" hidden="1">
      <c r="A212" t="s">
        <v>158</v>
      </c>
      <c r="E212" s="83"/>
      <c r="F212" s="83"/>
      <c r="G212" s="83">
        <f t="shared" ref="G212:AB212" si="333">$BN$204*G208</f>
        <v>0</v>
      </c>
      <c r="H212" s="83">
        <f t="shared" si="333"/>
        <v>0</v>
      </c>
      <c r="I212" s="83">
        <f t="shared" si="333"/>
        <v>0</v>
      </c>
      <c r="J212" s="83">
        <f t="shared" si="333"/>
        <v>0</v>
      </c>
      <c r="K212" s="83">
        <f t="shared" si="333"/>
        <v>0</v>
      </c>
      <c r="L212" s="83">
        <f t="shared" si="333"/>
        <v>0</v>
      </c>
      <c r="M212" s="83">
        <f t="shared" si="333"/>
        <v>0</v>
      </c>
      <c r="N212" s="83">
        <f t="shared" si="333"/>
        <v>0</v>
      </c>
      <c r="O212" s="83">
        <f t="shared" si="333"/>
        <v>0</v>
      </c>
      <c r="P212" s="83">
        <f t="shared" si="333"/>
        <v>0</v>
      </c>
      <c r="Q212" s="83">
        <f t="shared" si="333"/>
        <v>0</v>
      </c>
      <c r="R212" s="83">
        <f t="shared" si="333"/>
        <v>0</v>
      </c>
      <c r="S212" s="83">
        <f t="shared" si="333"/>
        <v>0</v>
      </c>
      <c r="T212" s="83">
        <f t="shared" si="333"/>
        <v>0</v>
      </c>
      <c r="U212" s="83">
        <f t="shared" si="333"/>
        <v>0</v>
      </c>
      <c r="V212" s="83">
        <f t="shared" si="333"/>
        <v>0</v>
      </c>
      <c r="W212" s="83">
        <f t="shared" si="333"/>
        <v>0</v>
      </c>
      <c r="X212" s="83">
        <f t="shared" si="333"/>
        <v>0</v>
      </c>
      <c r="Y212" s="83">
        <f t="shared" si="333"/>
        <v>0</v>
      </c>
      <c r="Z212" s="83">
        <f t="shared" si="333"/>
        <v>0</v>
      </c>
      <c r="AA212" s="83">
        <f t="shared" si="333"/>
        <v>0</v>
      </c>
      <c r="AB212" s="83">
        <f t="shared" si="333"/>
        <v>0</v>
      </c>
      <c r="AC212" s="83"/>
      <c r="AD212" s="83"/>
      <c r="AE212" s="83">
        <f t="shared" ref="AE212:AV212" si="334">$BN$204*AE208</f>
        <v>0</v>
      </c>
      <c r="AF212" s="83">
        <f t="shared" si="334"/>
        <v>0</v>
      </c>
      <c r="AG212" s="83">
        <f t="shared" si="334"/>
        <v>0</v>
      </c>
      <c r="AH212" s="83">
        <f t="shared" si="334"/>
        <v>0</v>
      </c>
      <c r="AI212" s="83">
        <f t="shared" si="334"/>
        <v>0</v>
      </c>
      <c r="AJ212" s="83">
        <f t="shared" si="334"/>
        <v>0</v>
      </c>
      <c r="AK212" s="83">
        <f t="shared" si="334"/>
        <v>0</v>
      </c>
      <c r="AL212" s="83">
        <f t="shared" si="334"/>
        <v>0</v>
      </c>
      <c r="AM212" s="83">
        <f t="shared" si="334"/>
        <v>0</v>
      </c>
      <c r="AN212" s="83">
        <f t="shared" si="334"/>
        <v>0</v>
      </c>
      <c r="AO212" s="83">
        <f t="shared" si="334"/>
        <v>0</v>
      </c>
      <c r="AP212" s="83">
        <f t="shared" si="334"/>
        <v>0</v>
      </c>
      <c r="AQ212" s="83">
        <f t="shared" si="334"/>
        <v>0</v>
      </c>
      <c r="AR212" s="83">
        <f t="shared" si="334"/>
        <v>0</v>
      </c>
      <c r="AS212" s="83">
        <f t="shared" si="334"/>
        <v>0</v>
      </c>
      <c r="AT212" s="83">
        <f t="shared" si="334"/>
        <v>0</v>
      </c>
      <c r="AU212" s="83">
        <f t="shared" si="334"/>
        <v>0</v>
      </c>
      <c r="AV212" s="83">
        <f t="shared" si="334"/>
        <v>0</v>
      </c>
      <c r="AW212" s="83"/>
      <c r="AX212" s="83"/>
      <c r="AY212" s="83">
        <f t="shared" ref="AY212:BL212" si="335">$BN$204*AY208</f>
        <v>0</v>
      </c>
      <c r="AZ212" s="83">
        <f t="shared" si="335"/>
        <v>0</v>
      </c>
      <c r="BA212" s="83">
        <f t="shared" si="335"/>
        <v>0</v>
      </c>
      <c r="BB212" s="83">
        <f t="shared" si="335"/>
        <v>0</v>
      </c>
      <c r="BC212" s="83">
        <f t="shared" si="335"/>
        <v>0</v>
      </c>
      <c r="BD212" s="83">
        <f t="shared" si="335"/>
        <v>0</v>
      </c>
      <c r="BE212" s="83">
        <f t="shared" si="335"/>
        <v>0</v>
      </c>
      <c r="BF212" s="83">
        <f t="shared" si="335"/>
        <v>0</v>
      </c>
      <c r="BG212" s="83">
        <f t="shared" si="335"/>
        <v>0</v>
      </c>
      <c r="BH212" s="83">
        <f t="shared" si="335"/>
        <v>0</v>
      </c>
      <c r="BI212" s="83">
        <f t="shared" si="335"/>
        <v>0</v>
      </c>
      <c r="BJ212" s="83">
        <f t="shared" si="335"/>
        <v>0</v>
      </c>
      <c r="BK212" s="83">
        <f t="shared" si="335"/>
        <v>0</v>
      </c>
      <c r="BL212" s="83">
        <f t="shared" si="335"/>
        <v>0</v>
      </c>
      <c r="BM212" s="83">
        <f>SUM(G212:BL212)</f>
        <v>0</v>
      </c>
      <c r="BS212" s="83"/>
    </row>
    <row r="213" spans="1:71" hidden="1"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3"/>
      <c r="BS213" s="83"/>
    </row>
    <row r="214" spans="1:71" hidden="1">
      <c r="A214" t="s">
        <v>157</v>
      </c>
      <c r="E214" s="83"/>
      <c r="F214" s="83"/>
      <c r="G214" s="83">
        <f t="shared" ref="G214:S215" si="336">G203+G211</f>
        <v>3079.2006577831908</v>
      </c>
      <c r="H214" s="83">
        <f t="shared" si="336"/>
        <v>49.756131951588181</v>
      </c>
      <c r="I214" s="83">
        <f t="shared" si="336"/>
        <v>474.16343816182945</v>
      </c>
      <c r="J214" s="83">
        <f t="shared" si="336"/>
        <v>0</v>
      </c>
      <c r="K214" s="83">
        <f t="shared" si="336"/>
        <v>887.49677053533583</v>
      </c>
      <c r="L214" s="83">
        <f t="shared" si="336"/>
        <v>0</v>
      </c>
      <c r="M214" s="83">
        <f t="shared" si="336"/>
        <v>1787.3393772490513</v>
      </c>
      <c r="N214" s="83">
        <f t="shared" si="336"/>
        <v>307.9003299833625</v>
      </c>
      <c r="O214" s="83">
        <f t="shared" si="336"/>
        <v>0</v>
      </c>
      <c r="P214" s="83">
        <f t="shared" si="336"/>
        <v>0</v>
      </c>
      <c r="Q214" s="83">
        <f t="shared" si="336"/>
        <v>0</v>
      </c>
      <c r="R214" s="83">
        <f t="shared" si="336"/>
        <v>66.531557664662188</v>
      </c>
      <c r="S214" s="83">
        <f t="shared" si="336"/>
        <v>0</v>
      </c>
      <c r="T214" s="83">
        <f t="shared" ref="T214:AB214" si="337">T203+T211</f>
        <v>0</v>
      </c>
      <c r="U214" s="83">
        <f t="shared" si="337"/>
        <v>0</v>
      </c>
      <c r="V214" s="83">
        <f t="shared" si="337"/>
        <v>0</v>
      </c>
      <c r="W214" s="83">
        <f t="shared" si="337"/>
        <v>0</v>
      </c>
      <c r="X214" s="83">
        <f t="shared" si="337"/>
        <v>0</v>
      </c>
      <c r="Y214" s="83">
        <f t="shared" si="337"/>
        <v>0</v>
      </c>
      <c r="Z214" s="83">
        <f t="shared" si="337"/>
        <v>62.496684029099292</v>
      </c>
      <c r="AA214" s="83">
        <f t="shared" si="337"/>
        <v>0</v>
      </c>
      <c r="AB214" s="83">
        <f t="shared" si="337"/>
        <v>0</v>
      </c>
      <c r="AC214" s="83"/>
      <c r="AD214" s="83"/>
      <c r="AE214" s="83">
        <f t="shared" ref="AE214" si="338">AE203+AE211</f>
        <v>0</v>
      </c>
      <c r="AF214" s="83">
        <f>AF203+AF211</f>
        <v>0</v>
      </c>
      <c r="AG214" s="83">
        <f>AG203+AG211</f>
        <v>8081.8738206935559</v>
      </c>
      <c r="AH214" s="83">
        <f>AH203+AH211</f>
        <v>4708.6317467187182</v>
      </c>
      <c r="AI214" s="83">
        <f>AI203+AI211</f>
        <v>0</v>
      </c>
      <c r="AJ214" s="83">
        <f t="shared" ref="AJ214:AL214" si="339">AJ203+AJ211</f>
        <v>0</v>
      </c>
      <c r="AK214" s="83">
        <f t="shared" si="339"/>
        <v>0</v>
      </c>
      <c r="AL214" s="83">
        <f t="shared" si="339"/>
        <v>0</v>
      </c>
      <c r="AM214" s="83">
        <f t="shared" ref="AM214:AV214" si="340">AM203+AM211</f>
        <v>0</v>
      </c>
      <c r="AN214" s="83">
        <f t="shared" si="340"/>
        <v>0</v>
      </c>
      <c r="AO214" s="83">
        <f t="shared" si="340"/>
        <v>40.984667526451432</v>
      </c>
      <c r="AP214" s="83">
        <f t="shared" si="340"/>
        <v>78.109890705842702</v>
      </c>
      <c r="AQ214" s="83">
        <f t="shared" si="340"/>
        <v>0</v>
      </c>
      <c r="AR214" s="83">
        <f t="shared" si="340"/>
        <v>481.15868104087605</v>
      </c>
      <c r="AS214" s="83">
        <f t="shared" si="340"/>
        <v>182.49031736496994</v>
      </c>
      <c r="AT214" s="83">
        <f t="shared" si="340"/>
        <v>0</v>
      </c>
      <c r="AU214" s="83">
        <f t="shared" si="340"/>
        <v>0</v>
      </c>
      <c r="AV214" s="83">
        <f t="shared" si="340"/>
        <v>3910.8451285914684</v>
      </c>
      <c r="AW214" s="83"/>
      <c r="AX214" s="83"/>
      <c r="AY214" s="83">
        <f t="shared" ref="AY214:BL214" si="341">AY203+AY211</f>
        <v>0</v>
      </c>
      <c r="AZ214" s="83">
        <f t="shared" si="341"/>
        <v>0</v>
      </c>
      <c r="BA214" s="83">
        <f t="shared" si="341"/>
        <v>0</v>
      </c>
      <c r="BB214" s="83">
        <f t="shared" si="341"/>
        <v>0</v>
      </c>
      <c r="BC214" s="83">
        <f t="shared" si="341"/>
        <v>0</v>
      </c>
      <c r="BD214" s="83">
        <f t="shared" si="341"/>
        <v>0</v>
      </c>
      <c r="BE214" s="83">
        <f t="shared" si="341"/>
        <v>0</v>
      </c>
      <c r="BF214" s="83">
        <f t="shared" si="341"/>
        <v>0</v>
      </c>
      <c r="BG214" s="83">
        <f t="shared" si="341"/>
        <v>0</v>
      </c>
      <c r="BH214" s="83">
        <f t="shared" si="341"/>
        <v>0</v>
      </c>
      <c r="BI214" s="83">
        <f t="shared" si="341"/>
        <v>0</v>
      </c>
      <c r="BJ214" s="83">
        <f t="shared" si="341"/>
        <v>0</v>
      </c>
      <c r="BK214" s="83">
        <f t="shared" si="341"/>
        <v>0</v>
      </c>
      <c r="BL214" s="83">
        <f t="shared" si="341"/>
        <v>0</v>
      </c>
      <c r="BM214" s="83">
        <f>SUM(G214:BL214)</f>
        <v>24198.979200000002</v>
      </c>
      <c r="BS214" s="83"/>
    </row>
    <row r="215" spans="1:71" hidden="1">
      <c r="A215" t="s">
        <v>158</v>
      </c>
      <c r="E215" s="83"/>
      <c r="F215" s="83"/>
      <c r="G215" s="83">
        <f t="shared" si="336"/>
        <v>6469.7390000000005</v>
      </c>
      <c r="H215" s="83">
        <f t="shared" ref="H215:BE215" si="342">H204+H212</f>
        <v>0</v>
      </c>
      <c r="I215" s="83">
        <f t="shared" si="342"/>
        <v>0</v>
      </c>
      <c r="J215" s="83">
        <f t="shared" si="342"/>
        <v>0</v>
      </c>
      <c r="K215" s="83">
        <f t="shared" si="342"/>
        <v>0</v>
      </c>
      <c r="L215" s="83">
        <f t="shared" si="342"/>
        <v>0</v>
      </c>
      <c r="M215" s="83">
        <f t="shared" si="342"/>
        <v>0</v>
      </c>
      <c r="N215" s="83">
        <f t="shared" si="342"/>
        <v>0</v>
      </c>
      <c r="O215" s="83">
        <f t="shared" si="342"/>
        <v>352.26</v>
      </c>
      <c r="P215" s="83">
        <f t="shared" si="342"/>
        <v>0</v>
      </c>
      <c r="Q215" s="83">
        <f t="shared" si="342"/>
        <v>0</v>
      </c>
      <c r="R215" s="83">
        <f t="shared" si="342"/>
        <v>0</v>
      </c>
      <c r="S215" s="83">
        <f t="shared" si="342"/>
        <v>0</v>
      </c>
      <c r="T215" s="83">
        <f t="shared" si="342"/>
        <v>0</v>
      </c>
      <c r="U215" s="83">
        <f t="shared" si="342"/>
        <v>0</v>
      </c>
      <c r="V215" s="83">
        <f t="shared" si="342"/>
        <v>0</v>
      </c>
      <c r="W215" s="83">
        <f t="shared" si="342"/>
        <v>0</v>
      </c>
      <c r="X215" s="83">
        <f t="shared" si="342"/>
        <v>0</v>
      </c>
      <c r="Y215" s="83">
        <f t="shared" si="342"/>
        <v>0</v>
      </c>
      <c r="Z215" s="83">
        <f t="shared" si="342"/>
        <v>0</v>
      </c>
      <c r="AA215" s="83">
        <f t="shared" si="342"/>
        <v>0</v>
      </c>
      <c r="AB215" s="83">
        <f t="shared" si="342"/>
        <v>0</v>
      </c>
      <c r="AC215" s="83"/>
      <c r="AD215" s="83"/>
      <c r="AE215" s="83">
        <f t="shared" ref="AE215" si="343">AE204+AE212</f>
        <v>0</v>
      </c>
      <c r="AF215" s="83">
        <f t="shared" si="342"/>
        <v>0</v>
      </c>
      <c r="AG215" s="83">
        <f t="shared" ref="AG215:AH215" si="344">AG204+AG212</f>
        <v>152.19280000000001</v>
      </c>
      <c r="AH215" s="83">
        <f t="shared" si="344"/>
        <v>512.81640000000004</v>
      </c>
      <c r="AI215" s="83">
        <f t="shared" ref="AI215" si="345">AI204+AI212</f>
        <v>0</v>
      </c>
      <c r="AJ215" s="83">
        <f t="shared" ref="AJ215:AO215" si="346">AJ204+AJ212</f>
        <v>0</v>
      </c>
      <c r="AK215" s="83">
        <f t="shared" si="346"/>
        <v>0</v>
      </c>
      <c r="AL215" s="83">
        <f t="shared" si="346"/>
        <v>0</v>
      </c>
      <c r="AM215" s="83">
        <f t="shared" si="346"/>
        <v>0</v>
      </c>
      <c r="AN215" s="83">
        <f t="shared" si="346"/>
        <v>0</v>
      </c>
      <c r="AO215" s="83">
        <f t="shared" si="346"/>
        <v>0</v>
      </c>
      <c r="AP215" s="83">
        <f t="shared" si="342"/>
        <v>0</v>
      </c>
      <c r="AQ215" s="83">
        <f t="shared" si="342"/>
        <v>0</v>
      </c>
      <c r="AR215" s="83">
        <f t="shared" si="342"/>
        <v>0</v>
      </c>
      <c r="AS215" s="83">
        <f t="shared" si="342"/>
        <v>0</v>
      </c>
      <c r="AT215" s="83">
        <f t="shared" si="342"/>
        <v>0</v>
      </c>
      <c r="AU215" s="83">
        <f t="shared" si="342"/>
        <v>0</v>
      </c>
      <c r="AV215" s="83">
        <f t="shared" si="342"/>
        <v>240.196</v>
      </c>
      <c r="AW215" s="83"/>
      <c r="AX215" s="83"/>
      <c r="AY215" s="83">
        <f t="shared" si="342"/>
        <v>0</v>
      </c>
      <c r="AZ215" s="83">
        <f t="shared" si="342"/>
        <v>0</v>
      </c>
      <c r="BA215" s="83">
        <f t="shared" si="342"/>
        <v>0</v>
      </c>
      <c r="BB215" s="83">
        <f t="shared" si="342"/>
        <v>0</v>
      </c>
      <c r="BC215" s="83">
        <f t="shared" si="342"/>
        <v>0</v>
      </c>
      <c r="BD215" s="83">
        <f t="shared" si="342"/>
        <v>0</v>
      </c>
      <c r="BE215" s="83">
        <f t="shared" si="342"/>
        <v>0</v>
      </c>
      <c r="BF215" s="83">
        <f t="shared" ref="BF215:BL215" si="347">BF204+BF212</f>
        <v>0</v>
      </c>
      <c r="BG215" s="83">
        <f t="shared" si="347"/>
        <v>0</v>
      </c>
      <c r="BH215" s="83">
        <f t="shared" si="347"/>
        <v>0</v>
      </c>
      <c r="BI215" s="83">
        <f t="shared" si="347"/>
        <v>0</v>
      </c>
      <c r="BJ215" s="83">
        <f t="shared" si="347"/>
        <v>0</v>
      </c>
      <c r="BK215" s="83">
        <f t="shared" si="347"/>
        <v>0</v>
      </c>
      <c r="BL215" s="83">
        <f t="shared" si="347"/>
        <v>0</v>
      </c>
      <c r="BM215" s="83">
        <f>SUM(G215:BL215)</f>
        <v>7727.2042000000001</v>
      </c>
      <c r="BS215" s="83"/>
    </row>
    <row r="216" spans="1:71" hidden="1"/>
    <row r="217" spans="1:71" hidden="1">
      <c r="A217" t="s">
        <v>164</v>
      </c>
      <c r="E217" s="83"/>
      <c r="F217" s="83"/>
      <c r="G217" s="83">
        <v>19909.302599999999</v>
      </c>
      <c r="H217" s="83">
        <v>1549.9646</v>
      </c>
      <c r="I217" s="83">
        <v>156.8896</v>
      </c>
      <c r="J217" s="83">
        <v>313.42900000000003</v>
      </c>
      <c r="K217" s="83">
        <v>26.986000000000001</v>
      </c>
      <c r="L217" s="83">
        <v>726.02639999999997</v>
      </c>
      <c r="M217" s="83">
        <v>667.62540000000001</v>
      </c>
      <c r="N217" s="83">
        <v>1900.8032000000001</v>
      </c>
      <c r="O217" s="83">
        <v>210.47020000000001</v>
      </c>
      <c r="P217" s="83">
        <v>78.568399999999997</v>
      </c>
      <c r="Q217" s="83">
        <v>203.6516</v>
      </c>
      <c r="R217" s="83">
        <v>548.9076</v>
      </c>
      <c r="S217" s="83">
        <v>75.622600000000006</v>
      </c>
      <c r="T217" s="83">
        <v>4.5937999999999999</v>
      </c>
      <c r="U217" s="83">
        <v>186.9862</v>
      </c>
      <c r="V217" s="83">
        <v>0</v>
      </c>
      <c r="W217" s="83">
        <v>0</v>
      </c>
      <c r="X217" s="83">
        <v>341.05360000000002</v>
      </c>
      <c r="Y217" s="83">
        <v>0</v>
      </c>
      <c r="Z217" s="83">
        <v>135.30080000000001</v>
      </c>
      <c r="AA217" s="83">
        <v>82.297000000000011</v>
      </c>
      <c r="AB217" s="83">
        <v>6206.5122000000001</v>
      </c>
      <c r="AC217" s="83"/>
      <c r="AD217" s="83"/>
      <c r="AE217" s="83">
        <v>0</v>
      </c>
      <c r="AF217" s="83">
        <v>0</v>
      </c>
      <c r="AG217" s="83">
        <v>4830.1437999999998</v>
      </c>
      <c r="AH217" s="83">
        <v>415.89339999999999</v>
      </c>
      <c r="AI217" s="83">
        <v>0</v>
      </c>
      <c r="AJ217" s="83">
        <v>0</v>
      </c>
      <c r="AK217" s="83">
        <v>0</v>
      </c>
      <c r="AL217" s="83">
        <v>0</v>
      </c>
      <c r="AM217" s="83">
        <v>0</v>
      </c>
      <c r="AN217" s="83">
        <v>0</v>
      </c>
      <c r="AO217" s="83">
        <v>0</v>
      </c>
      <c r="AP217" s="83">
        <v>0</v>
      </c>
      <c r="AQ217" s="83">
        <v>0</v>
      </c>
      <c r="AR217" s="83">
        <v>14.296400000000002</v>
      </c>
      <c r="AS217" s="83">
        <v>81.26700000000001</v>
      </c>
      <c r="AT217" s="83">
        <v>0</v>
      </c>
      <c r="AU217" s="83">
        <v>0</v>
      </c>
      <c r="AV217" s="83">
        <v>2787.5508</v>
      </c>
      <c r="AW217" s="83"/>
      <c r="AX217" s="83"/>
      <c r="AY217" s="83">
        <v>0</v>
      </c>
      <c r="AZ217" s="83">
        <v>0</v>
      </c>
      <c r="BA217" s="83">
        <v>0</v>
      </c>
      <c r="BB217" s="83">
        <v>0</v>
      </c>
      <c r="BC217" s="83">
        <v>0</v>
      </c>
      <c r="BD217" s="83">
        <v>0</v>
      </c>
      <c r="BE217" s="83">
        <v>0</v>
      </c>
      <c r="BF217" s="83">
        <v>0</v>
      </c>
      <c r="BG217" s="83">
        <v>0</v>
      </c>
      <c r="BH217" s="83">
        <v>0</v>
      </c>
      <c r="BI217" s="83">
        <v>0</v>
      </c>
      <c r="BJ217" s="83">
        <v>0</v>
      </c>
      <c r="BK217" s="83">
        <v>0</v>
      </c>
      <c r="BL217" s="83">
        <v>0</v>
      </c>
      <c r="BM217">
        <f>SUM(G217:BL217)</f>
        <v>41454.142199999987</v>
      </c>
      <c r="BN217" s="83">
        <v>1213.54</v>
      </c>
      <c r="BO217" s="83">
        <f>SUM(BM217:BN217)</f>
        <v>42667.682199999988</v>
      </c>
    </row>
    <row r="218" spans="1:71" hidden="1">
      <c r="A218" t="s">
        <v>164</v>
      </c>
      <c r="E218" s="77"/>
      <c r="F218" s="77"/>
      <c r="G218" s="77">
        <f t="shared" ref="G218:AB218" si="348">G217/$BM$217</f>
        <v>0.48027293639186691</v>
      </c>
      <c r="H218" s="77">
        <f t="shared" si="348"/>
        <v>3.7389860644613714E-2</v>
      </c>
      <c r="I218" s="77">
        <f t="shared" si="348"/>
        <v>3.7846543595829139E-3</v>
      </c>
      <c r="J218" s="77">
        <f t="shared" si="348"/>
        <v>7.5608608299703312E-3</v>
      </c>
      <c r="K218" s="77">
        <f t="shared" si="348"/>
        <v>6.5098440271187206E-4</v>
      </c>
      <c r="L218" s="77">
        <f t="shared" si="348"/>
        <v>1.751396510624215E-2</v>
      </c>
      <c r="M218" s="77">
        <f t="shared" si="348"/>
        <v>1.6105155349228292E-2</v>
      </c>
      <c r="N218" s="77">
        <f t="shared" si="348"/>
        <v>4.5853154814526606E-2</v>
      </c>
      <c r="O218" s="77">
        <f t="shared" si="348"/>
        <v>5.0771814064940433E-3</v>
      </c>
      <c r="P218" s="77">
        <f t="shared" si="348"/>
        <v>1.895308787742809E-3</v>
      </c>
      <c r="Q218" s="77">
        <f t="shared" si="348"/>
        <v>4.9126960345111199E-3</v>
      </c>
      <c r="R218" s="77">
        <f t="shared" si="348"/>
        <v>1.3241320911954612E-2</v>
      </c>
      <c r="S218" s="77">
        <f t="shared" si="348"/>
        <v>1.8242471315689178E-3</v>
      </c>
      <c r="T218" s="77">
        <f t="shared" si="348"/>
        <v>1.1081642885858584E-4</v>
      </c>
      <c r="U218" s="77">
        <f t="shared" si="348"/>
        <v>4.5106758957371464E-3</v>
      </c>
      <c r="V218" s="77">
        <f t="shared" si="348"/>
        <v>0</v>
      </c>
      <c r="W218" s="77">
        <f t="shared" si="348"/>
        <v>0</v>
      </c>
      <c r="X218" s="77">
        <f t="shared" si="348"/>
        <v>8.2272502070975216E-3</v>
      </c>
      <c r="Y218" s="77">
        <f t="shared" si="348"/>
        <v>0</v>
      </c>
      <c r="Z218" s="77">
        <f t="shared" si="348"/>
        <v>3.2638668374134166E-3</v>
      </c>
      <c r="AA218" s="77">
        <f t="shared" si="348"/>
        <v>1.9852539609419304E-3</v>
      </c>
      <c r="AB218" s="77">
        <f t="shared" si="348"/>
        <v>0.1497199524731693</v>
      </c>
      <c r="AC218" s="77"/>
      <c r="AD218" s="77"/>
      <c r="AE218" s="77">
        <f t="shared" ref="AE218:AV218" si="349">AE217/$BM$217</f>
        <v>0</v>
      </c>
      <c r="AF218" s="77">
        <f t="shared" si="349"/>
        <v>0</v>
      </c>
      <c r="AG218" s="77">
        <f t="shared" si="349"/>
        <v>0.11651776019622959</v>
      </c>
      <c r="AH218" s="77">
        <f t="shared" si="349"/>
        <v>1.0032613821641209E-2</v>
      </c>
      <c r="AI218" s="77">
        <f t="shared" si="349"/>
        <v>0</v>
      </c>
      <c r="AJ218" s="77">
        <f t="shared" si="349"/>
        <v>0</v>
      </c>
      <c r="AK218" s="77">
        <f t="shared" si="349"/>
        <v>0</v>
      </c>
      <c r="AL218" s="77">
        <f t="shared" si="349"/>
        <v>0</v>
      </c>
      <c r="AM218" s="77">
        <f t="shared" si="349"/>
        <v>0</v>
      </c>
      <c r="AN218" s="77">
        <f t="shared" si="349"/>
        <v>0</v>
      </c>
      <c r="AO218" s="77">
        <f t="shared" si="349"/>
        <v>0</v>
      </c>
      <c r="AP218" s="77">
        <f t="shared" si="349"/>
        <v>0</v>
      </c>
      <c r="AQ218" s="77">
        <f t="shared" si="349"/>
        <v>0</v>
      </c>
      <c r="AR218" s="77">
        <f t="shared" si="349"/>
        <v>3.4487265303972459E-4</v>
      </c>
      <c r="AS218" s="77">
        <f t="shared" si="349"/>
        <v>1.9604072280139965E-3</v>
      </c>
      <c r="AT218" s="77">
        <f t="shared" si="349"/>
        <v>0</v>
      </c>
      <c r="AU218" s="77">
        <f t="shared" si="349"/>
        <v>0</v>
      </c>
      <c r="AV218" s="77">
        <f t="shared" si="349"/>
        <v>6.7244204126843579E-2</v>
      </c>
      <c r="AW218" s="77"/>
      <c r="AX218" s="77"/>
      <c r="AY218" s="77">
        <f t="shared" ref="AY218:BL218" si="350">AY217/$BM$217</f>
        <v>0</v>
      </c>
      <c r="AZ218" s="77">
        <f t="shared" si="350"/>
        <v>0</v>
      </c>
      <c r="BA218" s="77">
        <f t="shared" si="350"/>
        <v>0</v>
      </c>
      <c r="BB218" s="77">
        <f t="shared" si="350"/>
        <v>0</v>
      </c>
      <c r="BC218" s="77">
        <f t="shared" si="350"/>
        <v>0</v>
      </c>
      <c r="BD218" s="77">
        <f t="shared" si="350"/>
        <v>0</v>
      </c>
      <c r="BE218" s="77">
        <f t="shared" si="350"/>
        <v>0</v>
      </c>
      <c r="BF218" s="77">
        <f t="shared" si="350"/>
        <v>0</v>
      </c>
      <c r="BG218" s="77">
        <f t="shared" si="350"/>
        <v>0</v>
      </c>
      <c r="BH218" s="77">
        <f t="shared" si="350"/>
        <v>0</v>
      </c>
      <c r="BI218" s="77">
        <f t="shared" si="350"/>
        <v>0</v>
      </c>
      <c r="BJ218" s="77">
        <f t="shared" si="350"/>
        <v>0</v>
      </c>
      <c r="BK218" s="77">
        <f t="shared" si="350"/>
        <v>0</v>
      </c>
      <c r="BL218" s="77">
        <f t="shared" si="350"/>
        <v>0</v>
      </c>
      <c r="BM218" s="77">
        <f>SUM(G218:BL218)</f>
        <v>1.0000000000000002</v>
      </c>
      <c r="BS218" s="77"/>
    </row>
    <row r="219" spans="1:71" hidden="1">
      <c r="A219" t="s">
        <v>164</v>
      </c>
      <c r="E219" s="83"/>
      <c r="F219" s="83"/>
      <c r="G219" s="83">
        <f t="shared" ref="G219:AB219" si="351">$BN$217*G218</f>
        <v>582.8304192289861</v>
      </c>
      <c r="H219" s="83">
        <f t="shared" si="351"/>
        <v>45.374091486664526</v>
      </c>
      <c r="I219" s="83">
        <f t="shared" si="351"/>
        <v>4.5928294515282495</v>
      </c>
      <c r="J219" s="83">
        <f t="shared" si="351"/>
        <v>9.1754070516021962</v>
      </c>
      <c r="K219" s="83">
        <f t="shared" si="351"/>
        <v>0.78999561206696522</v>
      </c>
      <c r="L219" s="83">
        <f t="shared" si="351"/>
        <v>21.253897215029099</v>
      </c>
      <c r="M219" s="83">
        <f t="shared" si="351"/>
        <v>19.544250222502502</v>
      </c>
      <c r="N219" s="83">
        <f t="shared" si="351"/>
        <v>55.644637493620614</v>
      </c>
      <c r="O219" s="83">
        <f t="shared" si="351"/>
        <v>6.1613627240367812</v>
      </c>
      <c r="P219" s="83">
        <f t="shared" si="351"/>
        <v>2.3000330262774082</v>
      </c>
      <c r="Q219" s="83">
        <f t="shared" si="351"/>
        <v>5.9617531457206239</v>
      </c>
      <c r="R219" s="83">
        <f t="shared" si="351"/>
        <v>16.068872579493398</v>
      </c>
      <c r="S219" s="83">
        <f t="shared" si="351"/>
        <v>2.2137968640441446</v>
      </c>
      <c r="T219" s="83">
        <f t="shared" si="351"/>
        <v>0.13448016907704827</v>
      </c>
      <c r="U219" s="83">
        <f t="shared" si="351"/>
        <v>5.4738856265128568</v>
      </c>
      <c r="V219" s="83">
        <f t="shared" si="351"/>
        <v>0</v>
      </c>
      <c r="W219" s="83">
        <f t="shared" si="351"/>
        <v>0</v>
      </c>
      <c r="X219" s="83">
        <f t="shared" si="351"/>
        <v>9.9840972163211266</v>
      </c>
      <c r="Y219" s="83">
        <f t="shared" si="351"/>
        <v>0</v>
      </c>
      <c r="Z219" s="83">
        <f t="shared" si="351"/>
        <v>3.9608329618746776</v>
      </c>
      <c r="AA219" s="83">
        <f t="shared" si="351"/>
        <v>2.4091850917614703</v>
      </c>
      <c r="AB219" s="83">
        <f t="shared" si="351"/>
        <v>181.69115112428986</v>
      </c>
      <c r="AC219" s="83"/>
      <c r="AD219" s="83"/>
      <c r="AE219" s="83">
        <f t="shared" ref="AE219:AV219" si="352">$BN$217*AE218</f>
        <v>0</v>
      </c>
      <c r="AF219" s="83">
        <f t="shared" si="352"/>
        <v>0</v>
      </c>
      <c r="AG219" s="83">
        <f t="shared" si="352"/>
        <v>141.39896270853245</v>
      </c>
      <c r="AH219" s="83">
        <f t="shared" si="352"/>
        <v>12.174978177114472</v>
      </c>
      <c r="AI219" s="83">
        <f t="shared" si="352"/>
        <v>0</v>
      </c>
      <c r="AJ219" s="83">
        <f t="shared" si="352"/>
        <v>0</v>
      </c>
      <c r="AK219" s="83">
        <f t="shared" si="352"/>
        <v>0</v>
      </c>
      <c r="AL219" s="83">
        <f t="shared" si="352"/>
        <v>0</v>
      </c>
      <c r="AM219" s="83">
        <f t="shared" si="352"/>
        <v>0</v>
      </c>
      <c r="AN219" s="83">
        <f t="shared" si="352"/>
        <v>0</v>
      </c>
      <c r="AO219" s="83">
        <f t="shared" si="352"/>
        <v>0</v>
      </c>
      <c r="AP219" s="83">
        <f t="shared" si="352"/>
        <v>0</v>
      </c>
      <c r="AQ219" s="83">
        <f t="shared" si="352"/>
        <v>0</v>
      </c>
      <c r="AR219" s="83">
        <f t="shared" si="352"/>
        <v>0.41851675936982735</v>
      </c>
      <c r="AS219" s="83">
        <f t="shared" si="352"/>
        <v>2.3790325874841054</v>
      </c>
      <c r="AT219" s="83">
        <f t="shared" si="352"/>
        <v>0</v>
      </c>
      <c r="AU219" s="83">
        <f t="shared" si="352"/>
        <v>0</v>
      </c>
      <c r="AV219" s="83">
        <f t="shared" si="352"/>
        <v>81.603531476089756</v>
      </c>
      <c r="AW219" s="83"/>
      <c r="AX219" s="83"/>
      <c r="AY219" s="83">
        <f t="shared" ref="AY219:BL219" si="353">$BN$217*AY218</f>
        <v>0</v>
      </c>
      <c r="AZ219" s="83">
        <f t="shared" si="353"/>
        <v>0</v>
      </c>
      <c r="BA219" s="83">
        <f t="shared" si="353"/>
        <v>0</v>
      </c>
      <c r="BB219" s="83">
        <f t="shared" si="353"/>
        <v>0</v>
      </c>
      <c r="BC219" s="83">
        <f t="shared" si="353"/>
        <v>0</v>
      </c>
      <c r="BD219" s="83">
        <f t="shared" si="353"/>
        <v>0</v>
      </c>
      <c r="BE219" s="83">
        <f t="shared" si="353"/>
        <v>0</v>
      </c>
      <c r="BF219" s="83">
        <f t="shared" si="353"/>
        <v>0</v>
      </c>
      <c r="BG219" s="83">
        <f t="shared" si="353"/>
        <v>0</v>
      </c>
      <c r="BH219" s="83">
        <f t="shared" si="353"/>
        <v>0</v>
      </c>
      <c r="BI219" s="83">
        <f t="shared" si="353"/>
        <v>0</v>
      </c>
      <c r="BJ219" s="83">
        <f t="shared" si="353"/>
        <v>0</v>
      </c>
      <c r="BK219" s="83">
        <f t="shared" si="353"/>
        <v>0</v>
      </c>
      <c r="BL219" s="83">
        <f t="shared" si="353"/>
        <v>0</v>
      </c>
      <c r="BM219">
        <f>SUM(G219:BL219)</f>
        <v>1213.5400000000002</v>
      </c>
    </row>
    <row r="220" spans="1:71" hidden="1">
      <c r="A220" t="s">
        <v>164</v>
      </c>
      <c r="E220" s="83"/>
      <c r="F220" s="83"/>
      <c r="G220" s="83">
        <f>G217+G219</f>
        <v>20492.133019228986</v>
      </c>
      <c r="H220" s="83">
        <f t="shared" ref="H220:BE220" si="354">H217+H219</f>
        <v>1595.3386914866646</v>
      </c>
      <c r="I220" s="83">
        <f t="shared" si="354"/>
        <v>161.48242945152825</v>
      </c>
      <c r="J220" s="83">
        <f t="shared" si="354"/>
        <v>322.60440705160221</v>
      </c>
      <c r="K220" s="83">
        <f t="shared" si="354"/>
        <v>27.775995612066964</v>
      </c>
      <c r="L220" s="83">
        <f t="shared" si="354"/>
        <v>747.28029721502912</v>
      </c>
      <c r="M220" s="83">
        <f t="shared" si="354"/>
        <v>687.16965022250247</v>
      </c>
      <c r="N220" s="83">
        <f t="shared" si="354"/>
        <v>1956.4478374936207</v>
      </c>
      <c r="O220" s="83">
        <f t="shared" si="354"/>
        <v>216.6315627240368</v>
      </c>
      <c r="P220" s="83">
        <f t="shared" si="354"/>
        <v>80.868433026277401</v>
      </c>
      <c r="Q220" s="83">
        <f t="shared" si="354"/>
        <v>209.61335314572062</v>
      </c>
      <c r="R220" s="83">
        <f t="shared" si="354"/>
        <v>564.97647257949336</v>
      </c>
      <c r="S220" s="83">
        <f t="shared" si="354"/>
        <v>77.836396864044147</v>
      </c>
      <c r="T220" s="83">
        <f t="shared" si="354"/>
        <v>4.7282801690770482</v>
      </c>
      <c r="U220" s="83">
        <f t="shared" si="354"/>
        <v>192.46008562651286</v>
      </c>
      <c r="V220" s="83">
        <f t="shared" si="354"/>
        <v>0</v>
      </c>
      <c r="W220" s="83">
        <f t="shared" si="354"/>
        <v>0</v>
      </c>
      <c r="X220" s="83">
        <f t="shared" si="354"/>
        <v>351.03769721632113</v>
      </c>
      <c r="Y220" s="83">
        <f t="shared" si="354"/>
        <v>0</v>
      </c>
      <c r="Z220" s="83">
        <f t="shared" si="354"/>
        <v>139.26163296187468</v>
      </c>
      <c r="AA220" s="83">
        <f t="shared" si="354"/>
        <v>84.706185091761483</v>
      </c>
      <c r="AB220" s="83">
        <f t="shared" si="354"/>
        <v>6388.2033511242898</v>
      </c>
      <c r="AC220" s="83"/>
      <c r="AD220" s="83"/>
      <c r="AE220" s="83">
        <f t="shared" ref="AE220" si="355">AE217+AE219</f>
        <v>0</v>
      </c>
      <c r="AF220" s="83">
        <f t="shared" si="354"/>
        <v>0</v>
      </c>
      <c r="AG220" s="83">
        <f t="shared" ref="AG220:AH220" si="356">AG217+AG219</f>
        <v>4971.5427627085319</v>
      </c>
      <c r="AH220" s="83">
        <f t="shared" si="356"/>
        <v>428.06837817711448</v>
      </c>
      <c r="AI220" s="83">
        <f t="shared" ref="AI220" si="357">AI217+AI219</f>
        <v>0</v>
      </c>
      <c r="AJ220" s="83">
        <f t="shared" ref="AJ220:AO220" si="358">AJ217+AJ219</f>
        <v>0</v>
      </c>
      <c r="AK220" s="83">
        <f t="shared" si="358"/>
        <v>0</v>
      </c>
      <c r="AL220" s="83">
        <f t="shared" si="358"/>
        <v>0</v>
      </c>
      <c r="AM220" s="83">
        <f t="shared" si="358"/>
        <v>0</v>
      </c>
      <c r="AN220" s="83">
        <f t="shared" si="358"/>
        <v>0</v>
      </c>
      <c r="AO220" s="83">
        <f t="shared" si="358"/>
        <v>0</v>
      </c>
      <c r="AP220" s="83">
        <f t="shared" si="354"/>
        <v>0</v>
      </c>
      <c r="AQ220" s="83">
        <f t="shared" si="354"/>
        <v>0</v>
      </c>
      <c r="AR220" s="83">
        <f t="shared" si="354"/>
        <v>14.71491675936983</v>
      </c>
      <c r="AS220" s="83">
        <f t="shared" si="354"/>
        <v>83.646032587484115</v>
      </c>
      <c r="AT220" s="83">
        <f t="shared" si="354"/>
        <v>0</v>
      </c>
      <c r="AU220" s="83">
        <f t="shared" si="354"/>
        <v>0</v>
      </c>
      <c r="AV220" s="83">
        <f t="shared" si="354"/>
        <v>2869.1543314760897</v>
      </c>
      <c r="AW220" s="83"/>
      <c r="AX220" s="83"/>
      <c r="AY220" s="83">
        <f t="shared" si="354"/>
        <v>0</v>
      </c>
      <c r="AZ220" s="83">
        <f t="shared" si="354"/>
        <v>0</v>
      </c>
      <c r="BA220" s="83">
        <f t="shared" si="354"/>
        <v>0</v>
      </c>
      <c r="BB220" s="83">
        <f t="shared" si="354"/>
        <v>0</v>
      </c>
      <c r="BC220" s="83">
        <f t="shared" si="354"/>
        <v>0</v>
      </c>
      <c r="BD220" s="83">
        <f t="shared" si="354"/>
        <v>0</v>
      </c>
      <c r="BE220" s="83">
        <f t="shared" si="354"/>
        <v>0</v>
      </c>
      <c r="BF220" s="83">
        <f t="shared" ref="BF220:BL220" si="359">BF217+BF219</f>
        <v>0</v>
      </c>
      <c r="BG220" s="83">
        <f t="shared" si="359"/>
        <v>0</v>
      </c>
      <c r="BH220" s="83">
        <f t="shared" si="359"/>
        <v>0</v>
      </c>
      <c r="BI220" s="83">
        <f t="shared" si="359"/>
        <v>0</v>
      </c>
      <c r="BJ220" s="83">
        <f t="shared" si="359"/>
        <v>0</v>
      </c>
      <c r="BK220" s="83">
        <f t="shared" si="359"/>
        <v>0</v>
      </c>
      <c r="BL220" s="83">
        <f t="shared" si="359"/>
        <v>0</v>
      </c>
      <c r="BM220" s="83">
        <f>SUM(G220:BL220)</f>
        <v>42667.682200000003</v>
      </c>
      <c r="BS220" s="83"/>
    </row>
    <row r="221" spans="1:71" hidden="1">
      <c r="BM221" s="83"/>
      <c r="BS221" s="83"/>
    </row>
    <row r="222" spans="1:71" hidden="1">
      <c r="A222" s="7" t="s">
        <v>171</v>
      </c>
      <c r="E222" s="83"/>
      <c r="F222" s="83"/>
      <c r="G222" s="83">
        <v>3633.0365999999999</v>
      </c>
      <c r="H222" s="83">
        <v>2160.7752</v>
      </c>
      <c r="I222" s="83">
        <v>319.1146</v>
      </c>
      <c r="J222" s="83">
        <v>387.79500000000002</v>
      </c>
      <c r="K222" s="83">
        <v>0</v>
      </c>
      <c r="L222" s="83">
        <v>417.99459999999999</v>
      </c>
      <c r="M222" s="83">
        <v>833.41420000000005</v>
      </c>
      <c r="N222" s="83">
        <v>2059.1554000000001</v>
      </c>
      <c r="O222" s="83">
        <v>432.64120000000003</v>
      </c>
      <c r="P222" s="83">
        <v>103.59740000000001</v>
      </c>
      <c r="Q222" s="83">
        <v>405.75819999999999</v>
      </c>
      <c r="R222" s="83">
        <v>1065.3701999999998</v>
      </c>
      <c r="S222" s="83">
        <v>150.68900000000002</v>
      </c>
      <c r="T222" s="83">
        <v>9.1875999999999998</v>
      </c>
      <c r="U222" s="83">
        <v>366.32980000000003</v>
      </c>
      <c r="V222" s="83">
        <v>0</v>
      </c>
      <c r="W222" s="83">
        <v>0</v>
      </c>
      <c r="X222" s="83">
        <v>770.06920000000002</v>
      </c>
      <c r="Y222" s="83">
        <v>0</v>
      </c>
      <c r="Z222" s="83">
        <v>219.96680000000001</v>
      </c>
      <c r="AA222" s="83">
        <v>162.86360000000002</v>
      </c>
      <c r="AB222" s="83">
        <v>1310.366</v>
      </c>
      <c r="AC222" s="83"/>
      <c r="AD222" s="83"/>
      <c r="AE222" s="83">
        <v>0</v>
      </c>
      <c r="AF222" s="83">
        <v>0</v>
      </c>
      <c r="AG222" s="83">
        <v>1259.1544000000001</v>
      </c>
      <c r="AH222" s="83">
        <v>558.52779999999996</v>
      </c>
      <c r="AI222" s="83">
        <v>0.84460000000000002</v>
      </c>
      <c r="AJ222" s="83">
        <v>8.4666000000000015</v>
      </c>
      <c r="AK222" s="83">
        <v>12.442400000000001</v>
      </c>
      <c r="AL222" s="83">
        <v>12.442400000000001</v>
      </c>
      <c r="AM222" s="83">
        <v>0</v>
      </c>
      <c r="AN222" s="83">
        <v>0</v>
      </c>
      <c r="AO222" s="83">
        <v>0</v>
      </c>
      <c r="AP222" s="83">
        <v>180.16759999999999</v>
      </c>
      <c r="AQ222" s="83">
        <v>101.1666</v>
      </c>
      <c r="AR222" s="83">
        <v>237.31200000000001</v>
      </c>
      <c r="AS222" s="83">
        <v>0</v>
      </c>
      <c r="AT222" s="83">
        <v>38.048200000000001</v>
      </c>
      <c r="AU222" s="83">
        <v>0</v>
      </c>
      <c r="AV222" s="83">
        <v>0</v>
      </c>
      <c r="AW222" s="83"/>
      <c r="AX222" s="83"/>
      <c r="AY222" s="83">
        <v>82.667800000000014</v>
      </c>
      <c r="AZ222" s="83">
        <v>79.804400000000001</v>
      </c>
      <c r="BA222" s="83">
        <v>0</v>
      </c>
      <c r="BB222" s="83">
        <v>0</v>
      </c>
      <c r="BC222" s="83">
        <v>0</v>
      </c>
      <c r="BD222" s="83">
        <v>757.23539999999991</v>
      </c>
      <c r="BE222" s="83">
        <v>66.126000000000005</v>
      </c>
      <c r="BF222" s="83">
        <v>58.71</v>
      </c>
      <c r="BG222" s="83">
        <v>52.282800000000002</v>
      </c>
      <c r="BH222" s="83">
        <v>201.75640000000001</v>
      </c>
      <c r="BI222" s="83">
        <v>210.6968</v>
      </c>
      <c r="BJ222" s="83">
        <v>0</v>
      </c>
      <c r="BK222" s="83">
        <v>0</v>
      </c>
      <c r="BL222" s="83">
        <v>0</v>
      </c>
      <c r="BM222" s="83">
        <f>SUM(G222:BL222)</f>
        <v>18725.976800000004</v>
      </c>
      <c r="BN222" s="83">
        <v>1969.2600000000002</v>
      </c>
      <c r="BO222" s="83">
        <f>SUM(BM222:BN222)</f>
        <v>20695.236800000006</v>
      </c>
      <c r="BS222" s="83"/>
    </row>
    <row r="223" spans="1:71" hidden="1">
      <c r="A223" s="7" t="s">
        <v>171</v>
      </c>
      <c r="E223" s="77"/>
      <c r="F223" s="77"/>
      <c r="G223" s="77">
        <f t="shared" ref="G223:AB223" si="360">G222/$BM$222</f>
        <v>0.19401052552836651</v>
      </c>
      <c r="H223" s="77">
        <f t="shared" si="360"/>
        <v>0.11538918493159725</v>
      </c>
      <c r="I223" s="77">
        <f t="shared" si="360"/>
        <v>1.7041279256524548E-2</v>
      </c>
      <c r="J223" s="77">
        <f t="shared" si="360"/>
        <v>2.0708933058167622E-2</v>
      </c>
      <c r="K223" s="77">
        <f t="shared" si="360"/>
        <v>0</v>
      </c>
      <c r="L223" s="77">
        <f t="shared" si="360"/>
        <v>2.2321644657810315E-2</v>
      </c>
      <c r="M223" s="77">
        <f t="shared" si="360"/>
        <v>4.4505779799962147E-2</v>
      </c>
      <c r="N223" s="77">
        <f t="shared" si="360"/>
        <v>0.10996250940565085</v>
      </c>
      <c r="O223" s="77">
        <f t="shared" si="360"/>
        <v>2.3103798782875773E-2</v>
      </c>
      <c r="P223" s="77">
        <f t="shared" si="360"/>
        <v>5.5322828339721105E-3</v>
      </c>
      <c r="Q223" s="77">
        <f t="shared" si="360"/>
        <v>2.1668199439401202E-2</v>
      </c>
      <c r="R223" s="77">
        <f t="shared" si="360"/>
        <v>5.6892636970478333E-2</v>
      </c>
      <c r="S223" s="77">
        <f t="shared" si="360"/>
        <v>8.0470568563344586E-3</v>
      </c>
      <c r="T223" s="77">
        <f t="shared" si="360"/>
        <v>4.9063395186946929E-4</v>
      </c>
      <c r="U223" s="77">
        <f t="shared" si="360"/>
        <v>1.9562653735638504E-2</v>
      </c>
      <c r="V223" s="77">
        <f t="shared" si="360"/>
        <v>0</v>
      </c>
      <c r="W223" s="77">
        <f t="shared" si="360"/>
        <v>0</v>
      </c>
      <c r="X223" s="77">
        <f t="shared" si="360"/>
        <v>4.1123045714763454E-2</v>
      </c>
      <c r="Y223" s="77">
        <f t="shared" si="360"/>
        <v>0</v>
      </c>
      <c r="Z223" s="77">
        <f t="shared" si="360"/>
        <v>1.1746612865610299E-2</v>
      </c>
      <c r="AA223" s="77">
        <f t="shared" si="360"/>
        <v>8.6972018463677674E-3</v>
      </c>
      <c r="AB223" s="77">
        <f t="shared" si="360"/>
        <v>6.9975842328289101E-2</v>
      </c>
      <c r="AC223" s="77"/>
      <c r="AD223" s="77"/>
      <c r="AE223" s="77">
        <f t="shared" ref="AE223:AV223" si="361">AE222/$BM$222</f>
        <v>0</v>
      </c>
      <c r="AF223" s="77">
        <f t="shared" si="361"/>
        <v>0</v>
      </c>
      <c r="AG223" s="77">
        <f t="shared" si="361"/>
        <v>6.7241053080873192E-2</v>
      </c>
      <c r="AH223" s="77">
        <f t="shared" si="361"/>
        <v>2.9826363984387712E-2</v>
      </c>
      <c r="AI223" s="77">
        <f t="shared" si="361"/>
        <v>4.5103121135982604E-5</v>
      </c>
      <c r="AJ223" s="77">
        <f t="shared" si="361"/>
        <v>4.5213128748509393E-4</v>
      </c>
      <c r="AK223" s="77">
        <f t="shared" si="361"/>
        <v>6.644459796617925E-4</v>
      </c>
      <c r="AL223" s="77">
        <f t="shared" si="361"/>
        <v>6.644459796617925E-4</v>
      </c>
      <c r="AM223" s="77">
        <f t="shared" si="361"/>
        <v>0</v>
      </c>
      <c r="AN223" s="77">
        <f t="shared" si="361"/>
        <v>0</v>
      </c>
      <c r="AO223" s="77">
        <f t="shared" si="361"/>
        <v>0</v>
      </c>
      <c r="AP223" s="77">
        <f t="shared" si="361"/>
        <v>9.6212657915927761E-3</v>
      </c>
      <c r="AQ223" s="77">
        <f t="shared" si="361"/>
        <v>5.4024738511905014E-3</v>
      </c>
      <c r="AR223" s="77">
        <f t="shared" si="361"/>
        <v>1.2672876963085843E-2</v>
      </c>
      <c r="AS223" s="77">
        <f t="shared" si="361"/>
        <v>0</v>
      </c>
      <c r="AT223" s="77">
        <f t="shared" si="361"/>
        <v>2.0318406033697526E-3</v>
      </c>
      <c r="AU223" s="77">
        <f t="shared" si="361"/>
        <v>0</v>
      </c>
      <c r="AV223" s="77">
        <f t="shared" si="361"/>
        <v>0</v>
      </c>
      <c r="AW223" s="77"/>
      <c r="AX223" s="77"/>
      <c r="AY223" s="77">
        <f t="shared" ref="AY223:BL223" si="362">AY222/$BM$222</f>
        <v>4.4146054906999566E-3</v>
      </c>
      <c r="AZ223" s="77">
        <f t="shared" si="362"/>
        <v>4.2616949092877223E-3</v>
      </c>
      <c r="BA223" s="77">
        <f t="shared" si="362"/>
        <v>0</v>
      </c>
      <c r="BB223" s="77">
        <f t="shared" si="362"/>
        <v>0</v>
      </c>
      <c r="BC223" s="77">
        <f t="shared" si="362"/>
        <v>0</v>
      </c>
      <c r="BD223" s="77">
        <f t="shared" si="362"/>
        <v>4.0437698288721569E-2</v>
      </c>
      <c r="BE223" s="77">
        <f t="shared" si="362"/>
        <v>3.5312443621098575E-3</v>
      </c>
      <c r="BF223" s="77">
        <f t="shared" si="362"/>
        <v>3.1352169570134248E-3</v>
      </c>
      <c r="BG223" s="77">
        <f t="shared" si="362"/>
        <v>2.79199320592985E-3</v>
      </c>
      <c r="BH223" s="77">
        <f t="shared" si="362"/>
        <v>1.0774145570873504E-2</v>
      </c>
      <c r="BI223" s="77">
        <f t="shared" si="362"/>
        <v>1.1251578609239758E-2</v>
      </c>
      <c r="BJ223" s="77">
        <f t="shared" si="362"/>
        <v>0</v>
      </c>
      <c r="BK223" s="77">
        <f t="shared" si="362"/>
        <v>0</v>
      </c>
      <c r="BL223" s="77">
        <f t="shared" si="362"/>
        <v>0</v>
      </c>
      <c r="BM223" s="77">
        <f>SUM(G223:BL223)</f>
        <v>0.99999999999999978</v>
      </c>
      <c r="BS223" s="77"/>
    </row>
    <row r="224" spans="1:71" hidden="1">
      <c r="A224" s="7" t="s">
        <v>171</v>
      </c>
      <c r="E224" s="83"/>
      <c r="F224" s="83"/>
      <c r="G224" s="83">
        <f t="shared" ref="G224:AB224" si="363">$BN$222*G223</f>
        <v>382.05716750199105</v>
      </c>
      <c r="H224" s="83">
        <f t="shared" si="363"/>
        <v>227.23130631839723</v>
      </c>
      <c r="I224" s="83">
        <f t="shared" si="363"/>
        <v>33.558709588703536</v>
      </c>
      <c r="J224" s="83">
        <f t="shared" si="363"/>
        <v>40.781273514127179</v>
      </c>
      <c r="K224" s="83">
        <f t="shared" si="363"/>
        <v>0</v>
      </c>
      <c r="L224" s="83">
        <f t="shared" si="363"/>
        <v>43.957121958839544</v>
      </c>
      <c r="M224" s="83">
        <f t="shared" si="363"/>
        <v>87.643451928873475</v>
      </c>
      <c r="N224" s="83">
        <f t="shared" si="363"/>
        <v>216.544771272172</v>
      </c>
      <c r="O224" s="83">
        <f t="shared" si="363"/>
        <v>45.497386791165951</v>
      </c>
      <c r="P224" s="83">
        <f t="shared" si="363"/>
        <v>10.894503293627919</v>
      </c>
      <c r="Q224" s="83">
        <f t="shared" si="363"/>
        <v>42.670318428035216</v>
      </c>
      <c r="R224" s="83">
        <f t="shared" si="363"/>
        <v>112.03639428048417</v>
      </c>
      <c r="S224" s="83">
        <f t="shared" si="363"/>
        <v>15.846747184905198</v>
      </c>
      <c r="T224" s="83">
        <f t="shared" si="363"/>
        <v>0.9661858160584712</v>
      </c>
      <c r="U224" s="83">
        <f t="shared" si="363"/>
        <v>38.523951495443484</v>
      </c>
      <c r="V224" s="83">
        <f t="shared" si="363"/>
        <v>0</v>
      </c>
      <c r="W224" s="83">
        <f t="shared" si="363"/>
        <v>0</v>
      </c>
      <c r="X224" s="83">
        <f t="shared" si="363"/>
        <v>80.981969004255092</v>
      </c>
      <c r="Y224" s="83">
        <f t="shared" si="363"/>
        <v>0</v>
      </c>
      <c r="Z224" s="83">
        <f t="shared" si="363"/>
        <v>23.132134851731738</v>
      </c>
      <c r="AA224" s="83">
        <f t="shared" si="363"/>
        <v>17.127051707978193</v>
      </c>
      <c r="AB224" s="83">
        <f t="shared" si="363"/>
        <v>137.8006272634066</v>
      </c>
      <c r="AC224" s="83"/>
      <c r="AD224" s="83"/>
      <c r="AE224" s="83">
        <f t="shared" ref="AE224:AV224" si="364">$BN$222*AE223</f>
        <v>0</v>
      </c>
      <c r="AF224" s="83">
        <f t="shared" si="364"/>
        <v>0</v>
      </c>
      <c r="AG224" s="83">
        <f t="shared" si="364"/>
        <v>132.41511619004035</v>
      </c>
      <c r="AH224" s="83">
        <f t="shared" si="364"/>
        <v>58.73586553989535</v>
      </c>
      <c r="AI224" s="83">
        <f t="shared" si="364"/>
        <v>8.8819772328245117E-2</v>
      </c>
      <c r="AJ224" s="83">
        <f t="shared" si="364"/>
        <v>0.89036405919289618</v>
      </c>
      <c r="AK224" s="83">
        <f t="shared" si="364"/>
        <v>1.3084668899087817</v>
      </c>
      <c r="AL224" s="83">
        <f t="shared" si="364"/>
        <v>1.3084668899087817</v>
      </c>
      <c r="AM224" s="83">
        <f t="shared" si="364"/>
        <v>0</v>
      </c>
      <c r="AN224" s="83">
        <f t="shared" si="364"/>
        <v>0</v>
      </c>
      <c r="AO224" s="83">
        <f t="shared" si="364"/>
        <v>0</v>
      </c>
      <c r="AP224" s="83">
        <f t="shared" si="364"/>
        <v>18.946773872751994</v>
      </c>
      <c r="AQ224" s="83">
        <f t="shared" si="364"/>
        <v>10.638875656195408</v>
      </c>
      <c r="AR224" s="83">
        <f t="shared" si="364"/>
        <v>24.956189688326429</v>
      </c>
      <c r="AS224" s="83">
        <f t="shared" si="364"/>
        <v>0</v>
      </c>
      <c r="AT224" s="83">
        <f t="shared" si="364"/>
        <v>4.0012224265919194</v>
      </c>
      <c r="AU224" s="83">
        <f t="shared" si="364"/>
        <v>0</v>
      </c>
      <c r="AV224" s="83">
        <f t="shared" si="364"/>
        <v>0</v>
      </c>
      <c r="AW224" s="83"/>
      <c r="AX224" s="83"/>
      <c r="AY224" s="83">
        <f t="shared" ref="AY224:BL224" si="365">$BN$222*AY223</f>
        <v>8.6935060086157971</v>
      </c>
      <c r="AZ224" s="83">
        <f t="shared" si="365"/>
        <v>8.3923853170639404</v>
      </c>
      <c r="BA224" s="83">
        <f t="shared" si="365"/>
        <v>0</v>
      </c>
      <c r="BB224" s="83">
        <f t="shared" si="365"/>
        <v>0</v>
      </c>
      <c r="BC224" s="83">
        <f t="shared" si="365"/>
        <v>0</v>
      </c>
      <c r="BD224" s="83">
        <f t="shared" si="365"/>
        <v>79.632341732047848</v>
      </c>
      <c r="BE224" s="83">
        <f t="shared" si="365"/>
        <v>6.9539382725284584</v>
      </c>
      <c r="BF224" s="83">
        <f t="shared" si="365"/>
        <v>6.1740573447682578</v>
      </c>
      <c r="BG224" s="83">
        <f t="shared" si="365"/>
        <v>5.4981605407094172</v>
      </c>
      <c r="BH224" s="83">
        <f t="shared" si="365"/>
        <v>21.217093906898359</v>
      </c>
      <c r="BI224" s="83">
        <f t="shared" si="365"/>
        <v>22.157283692031488</v>
      </c>
      <c r="BJ224" s="83">
        <f t="shared" si="365"/>
        <v>0</v>
      </c>
      <c r="BK224" s="83">
        <f t="shared" si="365"/>
        <v>0</v>
      </c>
      <c r="BL224" s="83">
        <f t="shared" si="365"/>
        <v>0</v>
      </c>
      <c r="BM224" s="83">
        <f>SUM(G224:BL224)</f>
        <v>1969.2599999999993</v>
      </c>
      <c r="BS224" s="83"/>
    </row>
    <row r="225" spans="1:71" hidden="1">
      <c r="A225" s="7" t="s">
        <v>171</v>
      </c>
      <c r="E225" s="83"/>
      <c r="F225" s="83"/>
      <c r="G225" s="83">
        <f>G222+G224</f>
        <v>4015.0937675019909</v>
      </c>
      <c r="H225" s="83">
        <f t="shared" ref="H225:BE225" si="366">H222+H224</f>
        <v>2388.0065063183974</v>
      </c>
      <c r="I225" s="83">
        <f t="shared" si="366"/>
        <v>352.67330958870355</v>
      </c>
      <c r="J225" s="83">
        <f t="shared" si="366"/>
        <v>428.57627351412719</v>
      </c>
      <c r="K225" s="83">
        <f t="shared" si="366"/>
        <v>0</v>
      </c>
      <c r="L225" s="83">
        <f t="shared" si="366"/>
        <v>461.95172195883953</v>
      </c>
      <c r="M225" s="83">
        <f t="shared" si="366"/>
        <v>921.0576519288735</v>
      </c>
      <c r="N225" s="83">
        <f t="shared" si="366"/>
        <v>2275.7001712721722</v>
      </c>
      <c r="O225" s="83">
        <f t="shared" si="366"/>
        <v>478.13858679116595</v>
      </c>
      <c r="P225" s="83">
        <f t="shared" si="366"/>
        <v>114.49190329362793</v>
      </c>
      <c r="Q225" s="83">
        <f t="shared" si="366"/>
        <v>448.4285184280352</v>
      </c>
      <c r="R225" s="83">
        <f t="shared" si="366"/>
        <v>1177.4065942804841</v>
      </c>
      <c r="S225" s="83">
        <f t="shared" si="366"/>
        <v>166.53574718490523</v>
      </c>
      <c r="T225" s="83">
        <f t="shared" si="366"/>
        <v>10.153785816058472</v>
      </c>
      <c r="U225" s="83">
        <f t="shared" si="366"/>
        <v>404.85375149544353</v>
      </c>
      <c r="V225" s="83">
        <f t="shared" si="366"/>
        <v>0</v>
      </c>
      <c r="W225" s="83">
        <f t="shared" si="366"/>
        <v>0</v>
      </c>
      <c r="X225" s="83">
        <f t="shared" si="366"/>
        <v>851.05116900425514</v>
      </c>
      <c r="Y225" s="83">
        <f t="shared" si="366"/>
        <v>0</v>
      </c>
      <c r="Z225" s="83">
        <f t="shared" si="366"/>
        <v>243.09893485173174</v>
      </c>
      <c r="AA225" s="83">
        <f t="shared" si="366"/>
        <v>179.9906517079782</v>
      </c>
      <c r="AB225" s="83">
        <f t="shared" si="366"/>
        <v>1448.1666272634066</v>
      </c>
      <c r="AC225" s="83"/>
      <c r="AD225" s="83"/>
      <c r="AE225" s="83">
        <f t="shared" ref="AE225" si="367">AE222+AE224</f>
        <v>0</v>
      </c>
      <c r="AF225" s="83">
        <f t="shared" si="366"/>
        <v>0</v>
      </c>
      <c r="AG225" s="83">
        <f t="shared" ref="AG225:AH225" si="368">AG222+AG224</f>
        <v>1391.5695161900405</v>
      </c>
      <c r="AH225" s="83">
        <f t="shared" si="368"/>
        <v>617.26366553989533</v>
      </c>
      <c r="AI225" s="83">
        <f t="shared" ref="AI225" si="369">AI222+AI224</f>
        <v>0.93341977232824513</v>
      </c>
      <c r="AJ225" s="83">
        <f t="shared" ref="AJ225:AO225" si="370">AJ222+AJ224</f>
        <v>9.3569640591928973</v>
      </c>
      <c r="AK225" s="83">
        <f t="shared" si="370"/>
        <v>13.750866889908783</v>
      </c>
      <c r="AL225" s="83">
        <f t="shared" si="370"/>
        <v>13.750866889908783</v>
      </c>
      <c r="AM225" s="83">
        <f t="shared" si="370"/>
        <v>0</v>
      </c>
      <c r="AN225" s="83">
        <f t="shared" si="370"/>
        <v>0</v>
      </c>
      <c r="AO225" s="83">
        <f t="shared" si="370"/>
        <v>0</v>
      </c>
      <c r="AP225" s="83">
        <f t="shared" si="366"/>
        <v>199.114373872752</v>
      </c>
      <c r="AQ225" s="83">
        <f t="shared" si="366"/>
        <v>111.80547565619541</v>
      </c>
      <c r="AR225" s="83">
        <f t="shared" si="366"/>
        <v>262.26818968832646</v>
      </c>
      <c r="AS225" s="83">
        <f t="shared" si="366"/>
        <v>0</v>
      </c>
      <c r="AT225" s="83">
        <f t="shared" si="366"/>
        <v>42.049422426591917</v>
      </c>
      <c r="AU225" s="83">
        <f t="shared" si="366"/>
        <v>0</v>
      </c>
      <c r="AV225" s="83">
        <f t="shared" si="366"/>
        <v>0</v>
      </c>
      <c r="AW225" s="83"/>
      <c r="AX225" s="83"/>
      <c r="AY225" s="83">
        <f t="shared" si="366"/>
        <v>91.361306008615813</v>
      </c>
      <c r="AZ225" s="83">
        <f t="shared" si="366"/>
        <v>88.196785317063942</v>
      </c>
      <c r="BA225" s="83">
        <f t="shared" si="366"/>
        <v>0</v>
      </c>
      <c r="BB225" s="83">
        <f t="shared" si="366"/>
        <v>0</v>
      </c>
      <c r="BC225" s="83">
        <f t="shared" si="366"/>
        <v>0</v>
      </c>
      <c r="BD225" s="83">
        <f t="shared" si="366"/>
        <v>836.86774173204776</v>
      </c>
      <c r="BE225" s="83">
        <f t="shared" si="366"/>
        <v>73.079938272528466</v>
      </c>
      <c r="BF225" s="83">
        <f t="shared" ref="BF225:BL225" si="371">BF222+BF224</f>
        <v>64.884057344768252</v>
      </c>
      <c r="BG225" s="83">
        <f t="shared" si="371"/>
        <v>57.780960540709415</v>
      </c>
      <c r="BH225" s="83">
        <f t="shared" si="371"/>
        <v>222.97349390689837</v>
      </c>
      <c r="BI225" s="83">
        <f t="shared" si="371"/>
        <v>232.85408369203148</v>
      </c>
      <c r="BJ225" s="83">
        <f t="shared" si="371"/>
        <v>0</v>
      </c>
      <c r="BK225" s="83">
        <f t="shared" si="371"/>
        <v>0</v>
      </c>
      <c r="BL225" s="83">
        <f t="shared" si="371"/>
        <v>0</v>
      </c>
      <c r="BM225" s="83">
        <f>SUM(G225:BL225)</f>
        <v>20695.23680000001</v>
      </c>
      <c r="BS225" s="83"/>
    </row>
    <row r="226" spans="1:71" hidden="1">
      <c r="BM226" s="83"/>
      <c r="BS226" s="83"/>
    </row>
    <row r="227" spans="1:71" hidden="1">
      <c r="A227" t="s">
        <v>175</v>
      </c>
      <c r="E227" s="83"/>
      <c r="F227" s="83"/>
      <c r="G227" s="83">
        <v>4051.6904</v>
      </c>
      <c r="H227" s="83">
        <v>2324.8748000000001</v>
      </c>
      <c r="I227" s="83">
        <v>302.77879999999999</v>
      </c>
      <c r="J227" s="83">
        <v>399.43400000000003</v>
      </c>
      <c r="K227" s="83">
        <v>0</v>
      </c>
      <c r="L227" s="83">
        <v>429.71600000000001</v>
      </c>
      <c r="M227" s="83">
        <v>858.21660000000008</v>
      </c>
      <c r="N227" s="83">
        <v>2094.9582</v>
      </c>
      <c r="O227" s="83">
        <v>437.89420000000001</v>
      </c>
      <c r="P227" s="83">
        <v>106.3372</v>
      </c>
      <c r="Q227" s="83">
        <v>418.7774</v>
      </c>
      <c r="R227" s="83">
        <v>1204.9146000000001</v>
      </c>
      <c r="S227" s="83">
        <v>155.5506</v>
      </c>
      <c r="T227" s="83">
        <v>9.4553999999999991</v>
      </c>
      <c r="U227" s="83">
        <v>382.17120000000006</v>
      </c>
      <c r="V227" s="83">
        <v>0</v>
      </c>
      <c r="W227" s="83">
        <v>0</v>
      </c>
      <c r="X227" s="83">
        <v>801.31940000000009</v>
      </c>
      <c r="Y227" s="83">
        <v>0</v>
      </c>
      <c r="Z227" s="83">
        <v>209.19300000000001</v>
      </c>
      <c r="AA227" s="83">
        <v>183.46360000000001</v>
      </c>
      <c r="AB227" s="83">
        <v>1348.3524</v>
      </c>
      <c r="AC227" s="83"/>
      <c r="AD227" s="83"/>
      <c r="AE227" s="83">
        <v>0</v>
      </c>
      <c r="AF227" s="83">
        <v>0</v>
      </c>
      <c r="AG227" s="83">
        <v>1299.6746000000001</v>
      </c>
      <c r="AH227" s="83">
        <v>576.67640000000006</v>
      </c>
      <c r="AI227" s="83">
        <v>4.7174000000000005</v>
      </c>
      <c r="AJ227" s="83">
        <v>8.6107999999999993</v>
      </c>
      <c r="AK227" s="83">
        <v>12.669</v>
      </c>
      <c r="AL227" s="83">
        <v>12.669</v>
      </c>
      <c r="AM227" s="83">
        <v>0</v>
      </c>
      <c r="AN227" s="83">
        <v>0</v>
      </c>
      <c r="AO227" s="83">
        <v>0</v>
      </c>
      <c r="AP227" s="83">
        <v>185.89439999999999</v>
      </c>
      <c r="AQ227" s="83">
        <v>103.94760000000001</v>
      </c>
      <c r="AR227" s="83">
        <v>244.76919999999998</v>
      </c>
      <c r="AS227" s="83">
        <v>0</v>
      </c>
      <c r="AT227" s="83">
        <v>38.769200000000005</v>
      </c>
      <c r="AU227" s="83">
        <v>32.6098</v>
      </c>
      <c r="AV227" s="83">
        <v>0</v>
      </c>
      <c r="AW227" s="83"/>
      <c r="AX227" s="83"/>
      <c r="AY227" s="83">
        <v>73.912800000000004</v>
      </c>
      <c r="AZ227" s="83">
        <v>111.858</v>
      </c>
      <c r="BA227" s="83">
        <v>0</v>
      </c>
      <c r="BB227" s="83">
        <v>0</v>
      </c>
      <c r="BC227" s="83">
        <v>0</v>
      </c>
      <c r="BD227" s="83">
        <v>0</v>
      </c>
      <c r="BE227" s="83">
        <v>68.082999999999998</v>
      </c>
      <c r="BF227" s="83">
        <v>62.562200000000004</v>
      </c>
      <c r="BG227" s="83">
        <v>51.747200000000007</v>
      </c>
      <c r="BH227" s="83">
        <v>207.93639999999999</v>
      </c>
      <c r="BI227" s="83">
        <v>217.2064</v>
      </c>
      <c r="BJ227" s="83">
        <v>0</v>
      </c>
      <c r="BK227" s="83">
        <v>0</v>
      </c>
      <c r="BL227" s="83">
        <v>0</v>
      </c>
      <c r="BM227" s="83">
        <f>SUM(G227:BL227)</f>
        <v>19033.411199999999</v>
      </c>
      <c r="BN227" s="83">
        <v>2155.12</v>
      </c>
      <c r="BO227" s="83">
        <f>SUM(BM227:BN227)</f>
        <v>21188.531199999998</v>
      </c>
      <c r="BS227" s="83"/>
    </row>
    <row r="228" spans="1:71" hidden="1">
      <c r="A228" t="s">
        <v>175</v>
      </c>
      <c r="E228" s="77"/>
      <c r="F228" s="77"/>
      <c r="G228" s="77">
        <f t="shared" ref="G228:AB228" si="372">G227/$BM$227</f>
        <v>0.21287253017472771</v>
      </c>
      <c r="H228" s="77">
        <f t="shared" si="372"/>
        <v>0.12214703794136493</v>
      </c>
      <c r="I228" s="77">
        <f t="shared" si="372"/>
        <v>1.5907752783694391E-2</v>
      </c>
      <c r="J228" s="77">
        <f t="shared" si="372"/>
        <v>2.0985938663480357E-2</v>
      </c>
      <c r="K228" s="77">
        <f t="shared" si="372"/>
        <v>0</v>
      </c>
      <c r="L228" s="77">
        <f t="shared" si="372"/>
        <v>2.2576930403310998E-2</v>
      </c>
      <c r="M228" s="77">
        <f t="shared" si="372"/>
        <v>4.509000467556757E-2</v>
      </c>
      <c r="N228" s="77">
        <f t="shared" si="372"/>
        <v>0.11006740609901813</v>
      </c>
      <c r="O228" s="77">
        <f t="shared" si="372"/>
        <v>2.3006606403795871E-2</v>
      </c>
      <c r="P228" s="77">
        <f t="shared" si="372"/>
        <v>5.5868703136093649E-3</v>
      </c>
      <c r="Q228" s="77">
        <f t="shared" si="372"/>
        <v>2.2002225223821153E-2</v>
      </c>
      <c r="R228" s="77">
        <f t="shared" si="372"/>
        <v>6.3305236635669393E-2</v>
      </c>
      <c r="S228" s="77">
        <f t="shared" si="372"/>
        <v>8.1725024676606584E-3</v>
      </c>
      <c r="T228" s="77">
        <f t="shared" si="372"/>
        <v>4.9677905345732248E-4</v>
      </c>
      <c r="U228" s="77">
        <f t="shared" si="372"/>
        <v>2.0078965141046293E-2</v>
      </c>
      <c r="V228" s="77">
        <f t="shared" si="372"/>
        <v>0</v>
      </c>
      <c r="W228" s="77">
        <f t="shared" si="372"/>
        <v>0</v>
      </c>
      <c r="X228" s="77">
        <f t="shared" si="372"/>
        <v>4.2100671896375577E-2</v>
      </c>
      <c r="Y228" s="77">
        <f t="shared" si="372"/>
        <v>0</v>
      </c>
      <c r="Z228" s="77">
        <f t="shared" si="372"/>
        <v>1.0990830692503508E-2</v>
      </c>
      <c r="AA228" s="77">
        <f t="shared" si="372"/>
        <v>9.6390288673004667E-3</v>
      </c>
      <c r="AB228" s="77">
        <f t="shared" si="372"/>
        <v>7.0841342407397798E-2</v>
      </c>
      <c r="AC228" s="77"/>
      <c r="AD228" s="77"/>
      <c r="AE228" s="77">
        <f t="shared" ref="AE228:AV228" si="373">AE227/$BM$227</f>
        <v>0</v>
      </c>
      <c r="AF228" s="77">
        <f t="shared" si="373"/>
        <v>0</v>
      </c>
      <c r="AG228" s="77">
        <f t="shared" si="373"/>
        <v>6.8283850243302691E-2</v>
      </c>
      <c r="AH228" s="77">
        <f t="shared" si="373"/>
        <v>3.0298110724366639E-2</v>
      </c>
      <c r="AI228" s="77">
        <f t="shared" si="373"/>
        <v>2.4784837307565766E-4</v>
      </c>
      <c r="AJ228" s="77">
        <f t="shared" si="373"/>
        <v>4.5240445391102568E-4</v>
      </c>
      <c r="AK228" s="77">
        <f t="shared" si="373"/>
        <v>6.6561899319445169E-4</v>
      </c>
      <c r="AL228" s="77">
        <f t="shared" si="373"/>
        <v>6.6561899319445169E-4</v>
      </c>
      <c r="AM228" s="77">
        <f t="shared" si="373"/>
        <v>0</v>
      </c>
      <c r="AN228" s="77">
        <f t="shared" si="373"/>
        <v>0</v>
      </c>
      <c r="AO228" s="77">
        <f t="shared" si="373"/>
        <v>0</v>
      </c>
      <c r="AP228" s="77">
        <f t="shared" si="373"/>
        <v>9.7667411294093207E-3</v>
      </c>
      <c r="AQ228" s="77">
        <f t="shared" si="373"/>
        <v>5.4613226661125265E-3</v>
      </c>
      <c r="AR228" s="77">
        <f t="shared" si="373"/>
        <v>1.2859975409978007E-2</v>
      </c>
      <c r="AS228" s="77">
        <f t="shared" si="373"/>
        <v>0</v>
      </c>
      <c r="AT228" s="77">
        <f t="shared" si="373"/>
        <v>2.0369023499056233E-3</v>
      </c>
      <c r="AU228" s="77">
        <f t="shared" si="373"/>
        <v>1.7132924654094585E-3</v>
      </c>
      <c r="AV228" s="77">
        <f t="shared" si="373"/>
        <v>0</v>
      </c>
      <c r="AW228" s="77"/>
      <c r="AX228" s="77"/>
      <c r="AY228" s="77">
        <f t="shared" ref="AY228:BL228" si="374">AY227/$BM$227</f>
        <v>3.883318613953972E-3</v>
      </c>
      <c r="AZ228" s="77">
        <f t="shared" si="374"/>
        <v>5.8769286716193053E-3</v>
      </c>
      <c r="BA228" s="77">
        <f t="shared" si="374"/>
        <v>0</v>
      </c>
      <c r="BB228" s="77">
        <f t="shared" si="374"/>
        <v>0</v>
      </c>
      <c r="BC228" s="77">
        <f t="shared" si="374"/>
        <v>0</v>
      </c>
      <c r="BD228" s="77">
        <f t="shared" si="374"/>
        <v>0</v>
      </c>
      <c r="BE228" s="77">
        <f t="shared" si="374"/>
        <v>3.5770256463539232E-3</v>
      </c>
      <c r="BF228" s="77">
        <f t="shared" si="374"/>
        <v>3.2869672883439837E-3</v>
      </c>
      <c r="BG228" s="77">
        <f t="shared" si="374"/>
        <v>2.7187559526901835E-3</v>
      </c>
      <c r="BH228" s="77">
        <f t="shared" si="374"/>
        <v>1.0924809946837066E-2</v>
      </c>
      <c r="BI228" s="77">
        <f t="shared" si="374"/>
        <v>1.1411848234540323E-2</v>
      </c>
      <c r="BJ228" s="77">
        <f t="shared" si="374"/>
        <v>0</v>
      </c>
      <c r="BK228" s="77">
        <f t="shared" si="374"/>
        <v>0</v>
      </c>
      <c r="BL228" s="77">
        <f t="shared" si="374"/>
        <v>0</v>
      </c>
      <c r="BM228" s="77">
        <f>SUM(G228:BL228)</f>
        <v>1</v>
      </c>
      <c r="BS228" s="77"/>
    </row>
    <row r="229" spans="1:71" hidden="1">
      <c r="A229" t="s">
        <v>175</v>
      </c>
      <c r="E229" s="83"/>
      <c r="F229" s="83"/>
      <c r="G229" s="83">
        <f t="shared" ref="G229:AB229" si="375">$BN$227*G228</f>
        <v>458.76584723015918</v>
      </c>
      <c r="H229" s="83">
        <f t="shared" si="375"/>
        <v>263.24152440819438</v>
      </c>
      <c r="I229" s="83">
        <f t="shared" si="375"/>
        <v>34.283116179195453</v>
      </c>
      <c r="J229" s="83">
        <f t="shared" si="375"/>
        <v>45.227216132439786</v>
      </c>
      <c r="K229" s="83">
        <f t="shared" si="375"/>
        <v>0</v>
      </c>
      <c r="L229" s="83">
        <f t="shared" si="375"/>
        <v>48.655994250783593</v>
      </c>
      <c r="M229" s="83">
        <f t="shared" si="375"/>
        <v>97.174370876409171</v>
      </c>
      <c r="N229" s="83">
        <f t="shared" si="375"/>
        <v>237.20846823211596</v>
      </c>
      <c r="O229" s="83">
        <f t="shared" si="375"/>
        <v>49.581997592948554</v>
      </c>
      <c r="P229" s="83">
        <f t="shared" si="375"/>
        <v>12.040375950265814</v>
      </c>
      <c r="Q229" s="83">
        <f t="shared" si="375"/>
        <v>47.417435624361438</v>
      </c>
      <c r="R229" s="83">
        <f t="shared" si="375"/>
        <v>136.43038157826382</v>
      </c>
      <c r="S229" s="83">
        <f t="shared" si="375"/>
        <v>17.612723518104836</v>
      </c>
      <c r="T229" s="83">
        <f t="shared" si="375"/>
        <v>1.0706184736869448</v>
      </c>
      <c r="U229" s="83">
        <f t="shared" si="375"/>
        <v>43.272579354771686</v>
      </c>
      <c r="V229" s="83">
        <f t="shared" si="375"/>
        <v>0</v>
      </c>
      <c r="W229" s="83">
        <f t="shared" si="375"/>
        <v>0</v>
      </c>
      <c r="X229" s="83">
        <f t="shared" si="375"/>
        <v>90.732000017316935</v>
      </c>
      <c r="Y229" s="83">
        <f t="shared" si="375"/>
        <v>0</v>
      </c>
      <c r="Z229" s="83">
        <f t="shared" si="375"/>
        <v>23.686559042028158</v>
      </c>
      <c r="AA229" s="83">
        <f t="shared" si="375"/>
        <v>20.77326389249658</v>
      </c>
      <c r="AB229" s="83">
        <f t="shared" si="375"/>
        <v>152.67159384903113</v>
      </c>
      <c r="AC229" s="83"/>
      <c r="AD229" s="83"/>
      <c r="AE229" s="83">
        <f t="shared" ref="AE229:AV229" si="376">$BN$227*AE228</f>
        <v>0</v>
      </c>
      <c r="AF229" s="83">
        <f t="shared" si="376"/>
        <v>0</v>
      </c>
      <c r="AG229" s="83">
        <f t="shared" si="376"/>
        <v>147.15989133634648</v>
      </c>
      <c r="AH229" s="83">
        <f t="shared" si="376"/>
        <v>65.296064384297026</v>
      </c>
      <c r="AI229" s="83">
        <f t="shared" si="376"/>
        <v>0.53414298578281127</v>
      </c>
      <c r="AJ229" s="83">
        <f t="shared" si="376"/>
        <v>0.97498588671272957</v>
      </c>
      <c r="AK229" s="83">
        <f t="shared" si="376"/>
        <v>1.4344888046132267</v>
      </c>
      <c r="AL229" s="83">
        <f t="shared" si="376"/>
        <v>1.4344888046132267</v>
      </c>
      <c r="AM229" s="83">
        <f t="shared" si="376"/>
        <v>0</v>
      </c>
      <c r="AN229" s="83">
        <f t="shared" si="376"/>
        <v>0</v>
      </c>
      <c r="AO229" s="83">
        <f t="shared" si="376"/>
        <v>0</v>
      </c>
      <c r="AP229" s="83">
        <f t="shared" si="376"/>
        <v>21.048499142812613</v>
      </c>
      <c r="AQ229" s="83">
        <f t="shared" si="376"/>
        <v>11.769805704192427</v>
      </c>
      <c r="AR229" s="83">
        <f t="shared" si="376"/>
        <v>27.7147902055518</v>
      </c>
      <c r="AS229" s="83">
        <f t="shared" si="376"/>
        <v>0</v>
      </c>
      <c r="AT229" s="83">
        <f t="shared" si="376"/>
        <v>4.389768992328607</v>
      </c>
      <c r="AU229" s="83">
        <f t="shared" si="376"/>
        <v>3.6923508580532323</v>
      </c>
      <c r="AV229" s="83">
        <f t="shared" si="376"/>
        <v>0</v>
      </c>
      <c r="AW229" s="83"/>
      <c r="AX229" s="83"/>
      <c r="AY229" s="83">
        <f t="shared" ref="AY229:BL229" si="377">$BN$227*AY228</f>
        <v>8.3690176113044839</v>
      </c>
      <c r="AZ229" s="83">
        <f t="shared" si="377"/>
        <v>12.665486518780197</v>
      </c>
      <c r="BA229" s="83">
        <f t="shared" si="377"/>
        <v>0</v>
      </c>
      <c r="BB229" s="83">
        <f t="shared" si="377"/>
        <v>0</v>
      </c>
      <c r="BC229" s="83">
        <f t="shared" si="377"/>
        <v>0</v>
      </c>
      <c r="BD229" s="83">
        <f t="shared" si="377"/>
        <v>0</v>
      </c>
      <c r="BE229" s="83">
        <f t="shared" si="377"/>
        <v>7.7089195109702668</v>
      </c>
      <c r="BF229" s="83">
        <f t="shared" si="377"/>
        <v>7.0838089424558861</v>
      </c>
      <c r="BG229" s="83">
        <f t="shared" si="377"/>
        <v>5.8592453287616681</v>
      </c>
      <c r="BH229" s="83">
        <f t="shared" si="377"/>
        <v>23.544276412627497</v>
      </c>
      <c r="BI229" s="83">
        <f t="shared" si="377"/>
        <v>24.59390236722254</v>
      </c>
      <c r="BJ229" s="83">
        <f t="shared" si="377"/>
        <v>0</v>
      </c>
      <c r="BK229" s="83">
        <f t="shared" si="377"/>
        <v>0</v>
      </c>
      <c r="BL229" s="83">
        <f t="shared" si="377"/>
        <v>0</v>
      </c>
      <c r="BM229" s="83">
        <f>SUM(G229:BL229)</f>
        <v>2155.12</v>
      </c>
      <c r="BS229" s="83"/>
    </row>
    <row r="230" spans="1:71" hidden="1">
      <c r="A230" t="s">
        <v>175</v>
      </c>
      <c r="E230" s="83"/>
      <c r="F230" s="83"/>
      <c r="G230" s="83">
        <f>G227+G229</f>
        <v>4510.4562472301595</v>
      </c>
      <c r="H230" s="83">
        <f t="shared" ref="H230:BE230" si="378">H227+H229</f>
        <v>2588.1163244081945</v>
      </c>
      <c r="I230" s="83">
        <f t="shared" si="378"/>
        <v>337.06191617919546</v>
      </c>
      <c r="J230" s="83">
        <f t="shared" si="378"/>
        <v>444.66121613243979</v>
      </c>
      <c r="K230" s="83">
        <f t="shared" si="378"/>
        <v>0</v>
      </c>
      <c r="L230" s="83">
        <f t="shared" si="378"/>
        <v>478.37199425078359</v>
      </c>
      <c r="M230" s="83">
        <f t="shared" si="378"/>
        <v>955.39097087640926</v>
      </c>
      <c r="N230" s="83">
        <f t="shared" si="378"/>
        <v>2332.1666682321161</v>
      </c>
      <c r="O230" s="83">
        <f t="shared" si="378"/>
        <v>487.47619759294855</v>
      </c>
      <c r="P230" s="83">
        <f t="shared" si="378"/>
        <v>118.37757595026581</v>
      </c>
      <c r="Q230" s="83">
        <f t="shared" si="378"/>
        <v>466.19483562436142</v>
      </c>
      <c r="R230" s="83">
        <f t="shared" si="378"/>
        <v>1341.344981578264</v>
      </c>
      <c r="S230" s="83">
        <f t="shared" si="378"/>
        <v>173.16332351810485</v>
      </c>
      <c r="T230" s="83">
        <f t="shared" si="378"/>
        <v>10.526018473686944</v>
      </c>
      <c r="U230" s="83">
        <f t="shared" si="378"/>
        <v>425.44377935477172</v>
      </c>
      <c r="V230" s="83">
        <f t="shared" si="378"/>
        <v>0</v>
      </c>
      <c r="W230" s="83">
        <f t="shared" si="378"/>
        <v>0</v>
      </c>
      <c r="X230" s="83">
        <f t="shared" si="378"/>
        <v>892.05140001731706</v>
      </c>
      <c r="Y230" s="83">
        <f t="shared" si="378"/>
        <v>0</v>
      </c>
      <c r="Z230" s="83">
        <f t="shared" si="378"/>
        <v>232.87955904202818</v>
      </c>
      <c r="AA230" s="83">
        <f t="shared" si="378"/>
        <v>204.23686389249659</v>
      </c>
      <c r="AB230" s="83">
        <f t="shared" si="378"/>
        <v>1501.0239938490311</v>
      </c>
      <c r="AC230" s="83"/>
      <c r="AD230" s="83"/>
      <c r="AE230" s="83">
        <f t="shared" ref="AE230" si="379">AE227+AE229</f>
        <v>0</v>
      </c>
      <c r="AF230" s="83">
        <f t="shared" si="378"/>
        <v>0</v>
      </c>
      <c r="AG230" s="83">
        <f t="shared" ref="AG230:AH230" si="380">AG227+AG229</f>
        <v>1446.8344913363464</v>
      </c>
      <c r="AH230" s="83">
        <f t="shared" si="380"/>
        <v>641.97246438429704</v>
      </c>
      <c r="AI230" s="83">
        <f t="shared" ref="AI230" si="381">AI227+AI229</f>
        <v>5.2515429857828115</v>
      </c>
      <c r="AJ230" s="83">
        <f t="shared" ref="AJ230:AO230" si="382">AJ227+AJ229</f>
        <v>9.5857858867127295</v>
      </c>
      <c r="AK230" s="83">
        <f t="shared" si="382"/>
        <v>14.103488804613228</v>
      </c>
      <c r="AL230" s="83">
        <f t="shared" si="382"/>
        <v>14.103488804613228</v>
      </c>
      <c r="AM230" s="83">
        <f t="shared" si="382"/>
        <v>0</v>
      </c>
      <c r="AN230" s="83">
        <f t="shared" si="382"/>
        <v>0</v>
      </c>
      <c r="AO230" s="83">
        <f t="shared" si="382"/>
        <v>0</v>
      </c>
      <c r="AP230" s="83">
        <f t="shared" si="378"/>
        <v>206.94289914281259</v>
      </c>
      <c r="AQ230" s="83">
        <f t="shared" si="378"/>
        <v>115.71740570419243</v>
      </c>
      <c r="AR230" s="83">
        <f t="shared" si="378"/>
        <v>272.48399020555178</v>
      </c>
      <c r="AS230" s="83">
        <f t="shared" si="378"/>
        <v>0</v>
      </c>
      <c r="AT230" s="83">
        <f t="shared" si="378"/>
        <v>43.15896899232861</v>
      </c>
      <c r="AU230" s="83">
        <f>AU227+AU229</f>
        <v>36.302150858053231</v>
      </c>
      <c r="AV230" s="83">
        <f t="shared" si="378"/>
        <v>0</v>
      </c>
      <c r="AW230" s="83"/>
      <c r="AX230" s="83"/>
      <c r="AY230" s="83">
        <f t="shared" si="378"/>
        <v>82.28181761130449</v>
      </c>
      <c r="AZ230" s="83">
        <f t="shared" si="378"/>
        <v>124.5234865187802</v>
      </c>
      <c r="BA230" s="83">
        <f t="shared" si="378"/>
        <v>0</v>
      </c>
      <c r="BB230" s="83">
        <f t="shared" si="378"/>
        <v>0</v>
      </c>
      <c r="BC230" s="83">
        <f t="shared" si="378"/>
        <v>0</v>
      </c>
      <c r="BD230" s="83">
        <f t="shared" si="378"/>
        <v>0</v>
      </c>
      <c r="BE230" s="83">
        <f t="shared" si="378"/>
        <v>75.79191951097026</v>
      </c>
      <c r="BF230" s="83">
        <f t="shared" ref="BF230:BL230" si="383">BF227+BF229</f>
        <v>69.646008942455893</v>
      </c>
      <c r="BG230" s="83">
        <f t="shared" si="383"/>
        <v>57.606445328761673</v>
      </c>
      <c r="BH230" s="83">
        <f t="shared" si="383"/>
        <v>231.48067641262747</v>
      </c>
      <c r="BI230" s="83">
        <f t="shared" si="383"/>
        <v>241.80030236722254</v>
      </c>
      <c r="BJ230" s="83">
        <f t="shared" si="383"/>
        <v>0</v>
      </c>
      <c r="BK230" s="83">
        <f t="shared" si="383"/>
        <v>0</v>
      </c>
      <c r="BL230" s="83">
        <f t="shared" si="383"/>
        <v>0</v>
      </c>
      <c r="BM230" s="83">
        <f>SUM(G230:BL230)</f>
        <v>21188.531199999994</v>
      </c>
      <c r="BS230" s="83"/>
    </row>
    <row r="231" spans="1:71" hidden="1">
      <c r="BM231" s="83"/>
      <c r="BS231" s="83"/>
    </row>
    <row r="232" spans="1:71" hidden="1">
      <c r="A232" t="s">
        <v>179</v>
      </c>
      <c r="E232" s="83"/>
      <c r="F232" s="83"/>
      <c r="G232" s="83">
        <v>1829.28</v>
      </c>
      <c r="H232" s="83">
        <v>0</v>
      </c>
      <c r="I232" s="83">
        <v>0</v>
      </c>
      <c r="J232" s="83">
        <v>0</v>
      </c>
      <c r="K232" s="83">
        <v>0</v>
      </c>
      <c r="L232" s="83">
        <v>0</v>
      </c>
      <c r="M232" s="83">
        <v>69.998799999999989</v>
      </c>
      <c r="N232" s="83">
        <v>0</v>
      </c>
      <c r="O232" s="83">
        <v>0</v>
      </c>
      <c r="P232" s="83">
        <v>0</v>
      </c>
      <c r="Q232" s="83">
        <v>0</v>
      </c>
      <c r="R232" s="83">
        <v>69.998799999999989</v>
      </c>
      <c r="S232" s="83">
        <v>0</v>
      </c>
      <c r="T232" s="83">
        <v>0</v>
      </c>
      <c r="U232" s="83">
        <v>0</v>
      </c>
      <c r="V232" s="83">
        <v>0</v>
      </c>
      <c r="W232" s="83">
        <v>0</v>
      </c>
      <c r="X232" s="83">
        <v>0</v>
      </c>
      <c r="Y232" s="83">
        <v>0</v>
      </c>
      <c r="Z232" s="83">
        <v>0</v>
      </c>
      <c r="AA232" s="83">
        <v>0</v>
      </c>
      <c r="AB232" s="83">
        <v>1005.28</v>
      </c>
      <c r="AC232" s="83"/>
      <c r="AD232" s="83"/>
      <c r="AE232" s="83">
        <v>0</v>
      </c>
      <c r="AF232" s="83">
        <v>0</v>
      </c>
      <c r="AG232" s="83">
        <v>214.137</v>
      </c>
      <c r="AH232" s="83">
        <v>0</v>
      </c>
      <c r="AI232" s="83">
        <v>0</v>
      </c>
      <c r="AJ232" s="83">
        <v>0</v>
      </c>
      <c r="AK232" s="83">
        <v>0</v>
      </c>
      <c r="AL232" s="83">
        <v>0</v>
      </c>
      <c r="AM232" s="83">
        <v>0</v>
      </c>
      <c r="AN232" s="83">
        <v>0</v>
      </c>
      <c r="AO232" s="83">
        <v>0</v>
      </c>
      <c r="AP232" s="83">
        <v>0</v>
      </c>
      <c r="AQ232" s="83">
        <v>3263.4520000000002</v>
      </c>
      <c r="AR232" s="83">
        <v>0</v>
      </c>
      <c r="AS232" s="83">
        <v>0</v>
      </c>
      <c r="AT232" s="83">
        <v>0</v>
      </c>
      <c r="AU232" s="83">
        <v>0</v>
      </c>
      <c r="AV232" s="83">
        <v>0</v>
      </c>
      <c r="AW232" s="83"/>
      <c r="AX232" s="83"/>
      <c r="AY232" s="83">
        <v>0</v>
      </c>
      <c r="AZ232" s="83">
        <v>0</v>
      </c>
      <c r="BA232" s="83">
        <v>0</v>
      </c>
      <c r="BB232" s="83">
        <v>0</v>
      </c>
      <c r="BC232" s="83">
        <v>0</v>
      </c>
      <c r="BD232" s="83">
        <v>0</v>
      </c>
      <c r="BE232" s="83">
        <v>1601.3410000000001</v>
      </c>
      <c r="BF232" s="83">
        <v>1823.4090000000001</v>
      </c>
      <c r="BG232" s="83">
        <v>0</v>
      </c>
      <c r="BH232" s="83">
        <v>3596.3067999999998</v>
      </c>
      <c r="BI232" s="83">
        <v>0</v>
      </c>
      <c r="BJ232" s="83">
        <v>0</v>
      </c>
      <c r="BK232" s="83">
        <v>0</v>
      </c>
      <c r="BL232" s="83">
        <v>0</v>
      </c>
      <c r="BM232" s="83">
        <f>SUM(G232:BL232)</f>
        <v>13473.2034</v>
      </c>
      <c r="BN232" s="83">
        <v>9984.9600000000009</v>
      </c>
      <c r="BO232" s="83">
        <f>SUM(BM232:BN232)</f>
        <v>23458.163400000001</v>
      </c>
      <c r="BS232" s="83"/>
    </row>
    <row r="233" spans="1:71" hidden="1">
      <c r="A233" t="s">
        <v>180</v>
      </c>
      <c r="E233" s="83"/>
      <c r="F233" s="83"/>
      <c r="G233" s="83">
        <v>5601.7374</v>
      </c>
      <c r="H233" s="83">
        <v>431.19920000000002</v>
      </c>
      <c r="I233" s="83">
        <v>64.601600000000005</v>
      </c>
      <c r="J233" s="83">
        <v>76.817400000000006</v>
      </c>
      <c r="K233" s="83">
        <v>0</v>
      </c>
      <c r="L233" s="83">
        <v>82.873800000000003</v>
      </c>
      <c r="M233" s="83">
        <v>165.21200000000002</v>
      </c>
      <c r="N233" s="83">
        <v>408.08600000000001</v>
      </c>
      <c r="O233" s="83">
        <v>85.737200000000001</v>
      </c>
      <c r="P233" s="83">
        <v>20.538200000000003</v>
      </c>
      <c r="Q233" s="83">
        <v>80.442999999999998</v>
      </c>
      <c r="R233" s="83">
        <v>211.19120000000001</v>
      </c>
      <c r="S233" s="83">
        <v>29.911200000000001</v>
      </c>
      <c r="T233" s="83">
        <v>1.8334000000000001</v>
      </c>
      <c r="U233" s="83">
        <v>72.573799999999991</v>
      </c>
      <c r="V233" s="83">
        <v>0</v>
      </c>
      <c r="W233" s="83">
        <v>0</v>
      </c>
      <c r="X233" s="83">
        <v>152.60480000000001</v>
      </c>
      <c r="Y233" s="83">
        <v>0</v>
      </c>
      <c r="Z233" s="83">
        <v>40.602600000000002</v>
      </c>
      <c r="AA233" s="83">
        <v>29.705200000000001</v>
      </c>
      <c r="AB233" s="83">
        <v>259.68360000000001</v>
      </c>
      <c r="AC233" s="83"/>
      <c r="AD233" s="83"/>
      <c r="AE233" s="83">
        <v>0</v>
      </c>
      <c r="AF233" s="83">
        <v>0</v>
      </c>
      <c r="AG233" s="83">
        <v>249.58959999999999</v>
      </c>
      <c r="AH233" s="83">
        <v>110.72500000000001</v>
      </c>
      <c r="AI233" s="83">
        <v>0.82400000000000007</v>
      </c>
      <c r="AJ233" s="83">
        <v>3.0076000000000001</v>
      </c>
      <c r="AK233" s="83">
        <v>4.4084000000000003</v>
      </c>
      <c r="AL233" s="83">
        <v>4.4084000000000003</v>
      </c>
      <c r="AM233" s="83">
        <v>0</v>
      </c>
      <c r="AN233" s="83">
        <v>0</v>
      </c>
      <c r="AO233" s="83">
        <v>0</v>
      </c>
      <c r="AP233" s="83">
        <v>35.720399999999998</v>
      </c>
      <c r="AQ233" s="83">
        <v>20.043800000000001</v>
      </c>
      <c r="AR233" s="83">
        <v>47.050400000000003</v>
      </c>
      <c r="AS233" s="83">
        <v>0</v>
      </c>
      <c r="AT233" s="83">
        <v>13.5136</v>
      </c>
      <c r="AU233" s="83">
        <v>0</v>
      </c>
      <c r="AV233" s="83">
        <v>0</v>
      </c>
      <c r="AW233" s="83"/>
      <c r="AX233" s="83"/>
      <c r="AY233" s="83">
        <v>19.343400000000003</v>
      </c>
      <c r="AZ233" s="83">
        <v>12.8956</v>
      </c>
      <c r="BA233" s="83">
        <v>0</v>
      </c>
      <c r="BB233" s="83">
        <v>0</v>
      </c>
      <c r="BC233" s="83">
        <v>0</v>
      </c>
      <c r="BD233" s="83">
        <v>0</v>
      </c>
      <c r="BE233" s="83">
        <v>11.124000000000001</v>
      </c>
      <c r="BF233" s="83">
        <v>9.6614000000000004</v>
      </c>
      <c r="BG233" s="83">
        <v>9.0228000000000002</v>
      </c>
      <c r="BH233" s="83">
        <v>33.99</v>
      </c>
      <c r="BI233" s="83">
        <v>41.818000000000005</v>
      </c>
      <c r="BJ233" s="83">
        <v>0</v>
      </c>
      <c r="BK233" s="83">
        <v>0</v>
      </c>
      <c r="BL233" s="83">
        <v>0</v>
      </c>
      <c r="BM233" s="83">
        <f>SUM(G233:BL233)</f>
        <v>8442.4980000000014</v>
      </c>
      <c r="BN233" s="83">
        <v>383.59999999999997</v>
      </c>
      <c r="BO233" s="83">
        <f>SUM(BM233:BN233)</f>
        <v>8826.0980000000018</v>
      </c>
      <c r="BS233" s="83"/>
    </row>
    <row r="234" spans="1:71" hidden="1">
      <c r="BM234" s="83"/>
      <c r="BS234" s="83"/>
    </row>
    <row r="235" spans="1:71" hidden="1">
      <c r="A235" t="s">
        <v>179</v>
      </c>
      <c r="E235" s="77"/>
      <c r="F235" s="77"/>
      <c r="G235" s="77">
        <f t="shared" ref="G235:AB235" si="384">G232/$BM$232</f>
        <v>0.13577172003504379</v>
      </c>
      <c r="H235" s="77">
        <f t="shared" si="384"/>
        <v>0</v>
      </c>
      <c r="I235" s="77">
        <f t="shared" si="384"/>
        <v>0</v>
      </c>
      <c r="J235" s="77">
        <f t="shared" si="384"/>
        <v>0</v>
      </c>
      <c r="K235" s="77">
        <f t="shared" si="384"/>
        <v>0</v>
      </c>
      <c r="L235" s="77">
        <f t="shared" si="384"/>
        <v>0</v>
      </c>
      <c r="M235" s="77">
        <f t="shared" si="384"/>
        <v>5.1954088364761109E-3</v>
      </c>
      <c r="N235" s="77">
        <f t="shared" si="384"/>
        <v>0</v>
      </c>
      <c r="O235" s="77">
        <f t="shared" si="384"/>
        <v>0</v>
      </c>
      <c r="P235" s="77">
        <f t="shared" si="384"/>
        <v>0</v>
      </c>
      <c r="Q235" s="77">
        <f t="shared" si="384"/>
        <v>0</v>
      </c>
      <c r="R235" s="77">
        <f t="shared" si="384"/>
        <v>5.1954088364761109E-3</v>
      </c>
      <c r="S235" s="77">
        <f t="shared" si="384"/>
        <v>0</v>
      </c>
      <c r="T235" s="77">
        <f t="shared" si="384"/>
        <v>0</v>
      </c>
      <c r="U235" s="77">
        <f t="shared" si="384"/>
        <v>0</v>
      </c>
      <c r="V235" s="77">
        <f t="shared" si="384"/>
        <v>0</v>
      </c>
      <c r="W235" s="77">
        <f t="shared" si="384"/>
        <v>0</v>
      </c>
      <c r="X235" s="77">
        <f t="shared" si="384"/>
        <v>0</v>
      </c>
      <c r="Y235" s="77">
        <f t="shared" si="384"/>
        <v>0</v>
      </c>
      <c r="Z235" s="77">
        <f t="shared" si="384"/>
        <v>0</v>
      </c>
      <c r="AA235" s="77">
        <f t="shared" si="384"/>
        <v>0</v>
      </c>
      <c r="AB235" s="77">
        <f t="shared" si="384"/>
        <v>7.4613287586825852E-2</v>
      </c>
      <c r="AC235" s="77"/>
      <c r="AD235" s="77"/>
      <c r="AE235" s="77">
        <f t="shared" ref="AE235:AV235" si="385">AE232/$BM$232</f>
        <v>0</v>
      </c>
      <c r="AF235" s="77">
        <f t="shared" si="385"/>
        <v>0</v>
      </c>
      <c r="AG235" s="77">
        <f t="shared" si="385"/>
        <v>1.5893547632480631E-2</v>
      </c>
      <c r="AH235" s="77">
        <f t="shared" si="385"/>
        <v>0</v>
      </c>
      <c r="AI235" s="77">
        <f t="shared" si="385"/>
        <v>0</v>
      </c>
      <c r="AJ235" s="77">
        <f t="shared" si="385"/>
        <v>0</v>
      </c>
      <c r="AK235" s="77">
        <f t="shared" si="385"/>
        <v>0</v>
      </c>
      <c r="AL235" s="77">
        <f t="shared" si="385"/>
        <v>0</v>
      </c>
      <c r="AM235" s="77">
        <f t="shared" si="385"/>
        <v>0</v>
      </c>
      <c r="AN235" s="77">
        <f t="shared" si="385"/>
        <v>0</v>
      </c>
      <c r="AO235" s="77">
        <f t="shared" si="385"/>
        <v>0</v>
      </c>
      <c r="AP235" s="77">
        <f t="shared" si="385"/>
        <v>0</v>
      </c>
      <c r="AQ235" s="77">
        <f t="shared" si="385"/>
        <v>0.24221797171116707</v>
      </c>
      <c r="AR235" s="77">
        <f t="shared" si="385"/>
        <v>0</v>
      </c>
      <c r="AS235" s="77">
        <f t="shared" si="385"/>
        <v>0</v>
      </c>
      <c r="AT235" s="77">
        <f t="shared" si="385"/>
        <v>0</v>
      </c>
      <c r="AU235" s="77">
        <f t="shared" si="385"/>
        <v>0</v>
      </c>
      <c r="AV235" s="77">
        <f t="shared" si="385"/>
        <v>0</v>
      </c>
      <c r="AW235" s="77"/>
      <c r="AX235" s="77"/>
      <c r="AY235" s="77">
        <f t="shared" ref="AY235:BL235" si="386">AY232/$BM$232</f>
        <v>0</v>
      </c>
      <c r="AZ235" s="77">
        <f t="shared" si="386"/>
        <v>0</v>
      </c>
      <c r="BA235" s="77">
        <f t="shared" si="386"/>
        <v>0</v>
      </c>
      <c r="BB235" s="77">
        <f t="shared" si="386"/>
        <v>0</v>
      </c>
      <c r="BC235" s="77">
        <f t="shared" si="386"/>
        <v>0</v>
      </c>
      <c r="BD235" s="77">
        <f t="shared" si="386"/>
        <v>0</v>
      </c>
      <c r="BE235" s="77">
        <f t="shared" si="386"/>
        <v>0.1188537686590555</v>
      </c>
      <c r="BF235" s="77">
        <f t="shared" si="386"/>
        <v>0.13533596620385024</v>
      </c>
      <c r="BG235" s="77">
        <f t="shared" si="386"/>
        <v>0</v>
      </c>
      <c r="BH235" s="77">
        <f t="shared" si="386"/>
        <v>0.26692292049862471</v>
      </c>
      <c r="BI235" s="77">
        <f t="shared" si="386"/>
        <v>0</v>
      </c>
      <c r="BJ235" s="77">
        <f t="shared" si="386"/>
        <v>0</v>
      </c>
      <c r="BK235" s="77">
        <f t="shared" si="386"/>
        <v>0</v>
      </c>
      <c r="BL235" s="77">
        <f t="shared" si="386"/>
        <v>0</v>
      </c>
      <c r="BM235" s="77">
        <f>SUM(G235:BL235)</f>
        <v>1</v>
      </c>
      <c r="BS235" s="77"/>
    </row>
    <row r="236" spans="1:71" hidden="1">
      <c r="A236" t="s">
        <v>180</v>
      </c>
      <c r="E236" s="77"/>
      <c r="F236" s="77"/>
      <c r="G236" s="77">
        <f t="shared" ref="G236:AB236" si="387">G233/$BM$233</f>
        <v>0.66351658004538461</v>
      </c>
      <c r="H236" s="77">
        <f t="shared" si="387"/>
        <v>5.1074835907571427E-2</v>
      </c>
      <c r="I236" s="77">
        <f t="shared" si="387"/>
        <v>7.6519532489080829E-3</v>
      </c>
      <c r="J236" s="77">
        <f t="shared" si="387"/>
        <v>9.0988946636410203E-3</v>
      </c>
      <c r="K236" s="77">
        <f t="shared" si="387"/>
        <v>0</v>
      </c>
      <c r="L236" s="77">
        <f t="shared" si="387"/>
        <v>9.8162652807261535E-3</v>
      </c>
      <c r="M236" s="77">
        <f t="shared" si="387"/>
        <v>1.9569089622526414E-2</v>
      </c>
      <c r="N236" s="77">
        <f t="shared" si="387"/>
        <v>4.8337115389307753E-2</v>
      </c>
      <c r="O236" s="77">
        <f t="shared" si="387"/>
        <v>1.0155430300368444E-2</v>
      </c>
      <c r="P236" s="77">
        <f t="shared" si="387"/>
        <v>2.4327160041968622E-3</v>
      </c>
      <c r="Q236" s="77">
        <f t="shared" si="387"/>
        <v>9.5283410194470855E-3</v>
      </c>
      <c r="R236" s="77">
        <f t="shared" si="387"/>
        <v>2.5015250225703337E-2</v>
      </c>
      <c r="S236" s="77">
        <f t="shared" si="387"/>
        <v>3.5429324354000436E-3</v>
      </c>
      <c r="T236" s="77">
        <f t="shared" si="387"/>
        <v>2.171632140155674E-4</v>
      </c>
      <c r="U236" s="77">
        <f t="shared" si="387"/>
        <v>8.5962472244589198E-3</v>
      </c>
      <c r="V236" s="77">
        <f t="shared" si="387"/>
        <v>0</v>
      </c>
      <c r="W236" s="77">
        <f t="shared" si="387"/>
        <v>0</v>
      </c>
      <c r="X236" s="77">
        <f t="shared" si="387"/>
        <v>1.8075787521655319E-2</v>
      </c>
      <c r="Y236" s="77">
        <f t="shared" si="387"/>
        <v>0</v>
      </c>
      <c r="Z236" s="77">
        <f t="shared" si="387"/>
        <v>4.8093111778054311E-3</v>
      </c>
      <c r="AA236" s="77">
        <f t="shared" si="387"/>
        <v>3.5185320742746988E-3</v>
      </c>
      <c r="AB236" s="77">
        <f t="shared" si="387"/>
        <v>3.0759095234609467E-2</v>
      </c>
      <c r="AC236" s="77"/>
      <c r="AD236" s="77"/>
      <c r="AE236" s="77">
        <f t="shared" ref="AE236:AV236" si="388">AE233/$BM$233</f>
        <v>0</v>
      </c>
      <c r="AF236" s="77">
        <f t="shared" si="388"/>
        <v>0</v>
      </c>
      <c r="AG236" s="77">
        <f t="shared" si="388"/>
        <v>2.9563477539467579E-2</v>
      </c>
      <c r="AH236" s="77">
        <f t="shared" si="388"/>
        <v>1.3115194104872751E-2</v>
      </c>
      <c r="AI236" s="77">
        <f t="shared" si="388"/>
        <v>9.7601444501378606E-5</v>
      </c>
      <c r="AJ236" s="77">
        <f t="shared" si="388"/>
        <v>3.5624527243003192E-4</v>
      </c>
      <c r="AK236" s="77">
        <f t="shared" si="388"/>
        <v>5.2216772808237556E-4</v>
      </c>
      <c r="AL236" s="77">
        <f t="shared" si="388"/>
        <v>5.2216772808237556E-4</v>
      </c>
      <c r="AM236" s="77">
        <f t="shared" si="388"/>
        <v>0</v>
      </c>
      <c r="AN236" s="77">
        <f t="shared" si="388"/>
        <v>0</v>
      </c>
      <c r="AO236" s="77">
        <f t="shared" si="388"/>
        <v>0</v>
      </c>
      <c r="AP236" s="77">
        <f t="shared" si="388"/>
        <v>4.2310226191347626E-3</v>
      </c>
      <c r="AQ236" s="77">
        <f t="shared" si="388"/>
        <v>2.3741551374960347E-3</v>
      </c>
      <c r="AR236" s="77">
        <f t="shared" si="388"/>
        <v>5.5730424810287189E-3</v>
      </c>
      <c r="AS236" s="77">
        <f t="shared" si="388"/>
        <v>0</v>
      </c>
      <c r="AT236" s="77">
        <f t="shared" si="388"/>
        <v>1.6006636898226092E-3</v>
      </c>
      <c r="AU236" s="77">
        <f t="shared" si="388"/>
        <v>0</v>
      </c>
      <c r="AV236" s="77">
        <f t="shared" si="388"/>
        <v>0</v>
      </c>
      <c r="AW236" s="77"/>
      <c r="AX236" s="77"/>
      <c r="AY236" s="77">
        <f t="shared" ref="AY236:BL236" si="389">AY233/$BM$233</f>
        <v>2.2911939096698628E-3</v>
      </c>
      <c r="AZ236" s="77">
        <f t="shared" si="389"/>
        <v>1.5274626064465751E-3</v>
      </c>
      <c r="BA236" s="77">
        <f t="shared" si="389"/>
        <v>0</v>
      </c>
      <c r="BB236" s="77">
        <f t="shared" si="389"/>
        <v>0</v>
      </c>
      <c r="BC236" s="77">
        <f t="shared" si="389"/>
        <v>0</v>
      </c>
      <c r="BD236" s="77">
        <f t="shared" si="389"/>
        <v>0</v>
      </c>
      <c r="BE236" s="77">
        <f t="shared" si="389"/>
        <v>1.3176195007686112E-3</v>
      </c>
      <c r="BF236" s="77">
        <f t="shared" si="389"/>
        <v>1.1443769367786641E-3</v>
      </c>
      <c r="BG236" s="77">
        <f t="shared" si="389"/>
        <v>1.0687358172900958E-3</v>
      </c>
      <c r="BH236" s="77">
        <f t="shared" si="389"/>
        <v>4.0260595856818678E-3</v>
      </c>
      <c r="BI236" s="77">
        <f t="shared" si="389"/>
        <v>4.9532733084449651E-3</v>
      </c>
      <c r="BJ236" s="77">
        <f t="shared" si="389"/>
        <v>0</v>
      </c>
      <c r="BK236" s="77">
        <f t="shared" si="389"/>
        <v>0</v>
      </c>
      <c r="BL236" s="77">
        <f t="shared" si="389"/>
        <v>0</v>
      </c>
      <c r="BM236" s="77">
        <f>SUM(G236:BL236)</f>
        <v>0.99999999999999978</v>
      </c>
      <c r="BS236" s="77"/>
    </row>
    <row r="237" spans="1:71" hidden="1">
      <c r="BM237" s="83"/>
      <c r="BS237" s="83"/>
    </row>
    <row r="238" spans="1:71" hidden="1">
      <c r="A238" t="s">
        <v>179</v>
      </c>
      <c r="E238" s="83"/>
      <c r="F238" s="83"/>
      <c r="G238" s="83">
        <f t="shared" ref="G238:AB238" si="390">$BN$232*G235</f>
        <v>1355.6751936811108</v>
      </c>
      <c r="H238" s="83">
        <f t="shared" si="390"/>
        <v>0</v>
      </c>
      <c r="I238" s="83">
        <f t="shared" si="390"/>
        <v>0</v>
      </c>
      <c r="J238" s="83">
        <f t="shared" si="390"/>
        <v>0</v>
      </c>
      <c r="K238" s="83">
        <f t="shared" si="390"/>
        <v>0</v>
      </c>
      <c r="L238" s="83">
        <f t="shared" si="390"/>
        <v>0</v>
      </c>
      <c r="M238" s="83">
        <f t="shared" si="390"/>
        <v>51.875949415860511</v>
      </c>
      <c r="N238" s="83">
        <f t="shared" si="390"/>
        <v>0</v>
      </c>
      <c r="O238" s="83">
        <f t="shared" si="390"/>
        <v>0</v>
      </c>
      <c r="P238" s="83">
        <f t="shared" si="390"/>
        <v>0</v>
      </c>
      <c r="Q238" s="83">
        <f t="shared" si="390"/>
        <v>0</v>
      </c>
      <c r="R238" s="83">
        <f t="shared" si="390"/>
        <v>51.875949415860511</v>
      </c>
      <c r="S238" s="83">
        <f t="shared" si="390"/>
        <v>0</v>
      </c>
      <c r="T238" s="83">
        <f t="shared" si="390"/>
        <v>0</v>
      </c>
      <c r="U238" s="83">
        <f t="shared" si="390"/>
        <v>0</v>
      </c>
      <c r="V238" s="83">
        <f t="shared" si="390"/>
        <v>0</v>
      </c>
      <c r="W238" s="83">
        <f t="shared" si="390"/>
        <v>0</v>
      </c>
      <c r="X238" s="83">
        <f t="shared" si="390"/>
        <v>0</v>
      </c>
      <c r="Y238" s="83">
        <f t="shared" si="390"/>
        <v>0</v>
      </c>
      <c r="Z238" s="83">
        <f t="shared" si="390"/>
        <v>0</v>
      </c>
      <c r="AA238" s="83">
        <f t="shared" si="390"/>
        <v>0</v>
      </c>
      <c r="AB238" s="83">
        <f t="shared" si="390"/>
        <v>745.01069202295275</v>
      </c>
      <c r="AC238" s="83"/>
      <c r="AD238" s="83"/>
      <c r="AE238" s="83">
        <f t="shared" ref="AE238:AV238" si="391">$BN$232*AE235</f>
        <v>0</v>
      </c>
      <c r="AF238" s="83">
        <f t="shared" si="391"/>
        <v>0</v>
      </c>
      <c r="AG238" s="83">
        <f t="shared" si="391"/>
        <v>158.69643736841383</v>
      </c>
      <c r="AH238" s="83">
        <f t="shared" si="391"/>
        <v>0</v>
      </c>
      <c r="AI238" s="83">
        <f t="shared" si="391"/>
        <v>0</v>
      </c>
      <c r="AJ238" s="83">
        <f t="shared" si="391"/>
        <v>0</v>
      </c>
      <c r="AK238" s="83">
        <f t="shared" si="391"/>
        <v>0</v>
      </c>
      <c r="AL238" s="83">
        <f t="shared" si="391"/>
        <v>0</v>
      </c>
      <c r="AM238" s="83">
        <f t="shared" si="391"/>
        <v>0</v>
      </c>
      <c r="AN238" s="83">
        <f t="shared" si="391"/>
        <v>0</v>
      </c>
      <c r="AO238" s="83">
        <f t="shared" si="391"/>
        <v>0</v>
      </c>
      <c r="AP238" s="83">
        <f t="shared" si="391"/>
        <v>0</v>
      </c>
      <c r="AQ238" s="83">
        <f t="shared" si="391"/>
        <v>2418.5367588171348</v>
      </c>
      <c r="AR238" s="83">
        <f t="shared" si="391"/>
        <v>0</v>
      </c>
      <c r="AS238" s="83">
        <f t="shared" si="391"/>
        <v>0</v>
      </c>
      <c r="AT238" s="83">
        <f t="shared" si="391"/>
        <v>0</v>
      </c>
      <c r="AU238" s="83">
        <f t="shared" si="391"/>
        <v>0</v>
      </c>
      <c r="AV238" s="83">
        <f t="shared" si="391"/>
        <v>0</v>
      </c>
      <c r="AW238" s="83"/>
      <c r="AX238" s="83"/>
      <c r="AY238" s="83">
        <f t="shared" ref="AY238:BL238" si="392">$BN$232*AY235</f>
        <v>0</v>
      </c>
      <c r="AZ238" s="83">
        <f t="shared" si="392"/>
        <v>0</v>
      </c>
      <c r="BA238" s="83">
        <f t="shared" si="392"/>
        <v>0</v>
      </c>
      <c r="BB238" s="83">
        <f t="shared" si="392"/>
        <v>0</v>
      </c>
      <c r="BC238" s="83">
        <f t="shared" si="392"/>
        <v>0</v>
      </c>
      <c r="BD238" s="83">
        <f t="shared" si="392"/>
        <v>0</v>
      </c>
      <c r="BE238" s="83">
        <f t="shared" si="392"/>
        <v>1186.7501259099229</v>
      </c>
      <c r="BF238" s="83">
        <f t="shared" si="392"/>
        <v>1351.3242091067966</v>
      </c>
      <c r="BG238" s="83">
        <f t="shared" si="392"/>
        <v>0</v>
      </c>
      <c r="BH238" s="83">
        <f t="shared" si="392"/>
        <v>2665.2146842619482</v>
      </c>
      <c r="BI238" s="83">
        <f t="shared" si="392"/>
        <v>0</v>
      </c>
      <c r="BJ238" s="83">
        <f t="shared" si="392"/>
        <v>0</v>
      </c>
      <c r="BK238" s="83">
        <f t="shared" si="392"/>
        <v>0</v>
      </c>
      <c r="BL238" s="83">
        <f t="shared" si="392"/>
        <v>0</v>
      </c>
      <c r="BM238" s="94">
        <f>SUM(G238:BL238)</f>
        <v>9984.9600000000009</v>
      </c>
      <c r="BS238" s="94"/>
    </row>
    <row r="239" spans="1:71" hidden="1">
      <c r="A239" t="s">
        <v>180</v>
      </c>
      <c r="E239" s="83"/>
      <c r="F239" s="83"/>
      <c r="G239" s="83">
        <f t="shared" ref="G239:AB239" si="393">$BN$233*G236</f>
        <v>254.52496010540952</v>
      </c>
      <c r="H239" s="83">
        <f t="shared" si="393"/>
        <v>19.592307054144399</v>
      </c>
      <c r="I239" s="83">
        <f t="shared" si="393"/>
        <v>2.9352892662811403</v>
      </c>
      <c r="J239" s="83">
        <f t="shared" si="393"/>
        <v>3.4903359929726951</v>
      </c>
      <c r="K239" s="83">
        <f t="shared" si="393"/>
        <v>0</v>
      </c>
      <c r="L239" s="83">
        <f t="shared" si="393"/>
        <v>3.7655193616865521</v>
      </c>
      <c r="M239" s="83">
        <f t="shared" si="393"/>
        <v>7.5067027792011318</v>
      </c>
      <c r="N239" s="83">
        <f t="shared" si="393"/>
        <v>18.542117463338453</v>
      </c>
      <c r="O239" s="83">
        <f t="shared" si="393"/>
        <v>3.8956230632213344</v>
      </c>
      <c r="P239" s="83">
        <f t="shared" si="393"/>
        <v>0.93318985920991626</v>
      </c>
      <c r="Q239" s="83">
        <f t="shared" si="393"/>
        <v>3.6550716150599016</v>
      </c>
      <c r="R239" s="83">
        <f t="shared" si="393"/>
        <v>9.5958499865797986</v>
      </c>
      <c r="S239" s="83">
        <f t="shared" si="393"/>
        <v>1.3590688822194565</v>
      </c>
      <c r="T239" s="83">
        <f t="shared" si="393"/>
        <v>8.3303808896371651E-2</v>
      </c>
      <c r="U239" s="83">
        <f t="shared" si="393"/>
        <v>3.2975204353024412</v>
      </c>
      <c r="V239" s="83">
        <f t="shared" si="393"/>
        <v>0</v>
      </c>
      <c r="W239" s="83">
        <f t="shared" si="393"/>
        <v>0</v>
      </c>
      <c r="X239" s="83">
        <f t="shared" si="393"/>
        <v>6.93387209330698</v>
      </c>
      <c r="Y239" s="83">
        <f t="shared" si="393"/>
        <v>0</v>
      </c>
      <c r="Z239" s="83">
        <f t="shared" si="393"/>
        <v>1.8448517678061631</v>
      </c>
      <c r="AA239" s="83">
        <f t="shared" si="393"/>
        <v>1.3497089036917744</v>
      </c>
      <c r="AB239" s="83">
        <f t="shared" si="393"/>
        <v>11.799188931996191</v>
      </c>
      <c r="AC239" s="83"/>
      <c r="AD239" s="83"/>
      <c r="AE239" s="83">
        <f t="shared" ref="AE239:AV239" si="394">$BN$233*AE236</f>
        <v>0</v>
      </c>
      <c r="AF239" s="83">
        <f t="shared" si="394"/>
        <v>0</v>
      </c>
      <c r="AG239" s="83">
        <f t="shared" si="394"/>
        <v>11.340549984139763</v>
      </c>
      <c r="AH239" s="83">
        <f t="shared" si="394"/>
        <v>5.0309884586291869</v>
      </c>
      <c r="AI239" s="83">
        <f t="shared" si="394"/>
        <v>3.7439914110728827E-2</v>
      </c>
      <c r="AJ239" s="83">
        <f t="shared" si="394"/>
        <v>0.13665568650416024</v>
      </c>
      <c r="AK239" s="83">
        <f t="shared" si="394"/>
        <v>0.20030354049239923</v>
      </c>
      <c r="AL239" s="83">
        <f t="shared" si="394"/>
        <v>0.20030354049239923</v>
      </c>
      <c r="AM239" s="83">
        <f t="shared" si="394"/>
        <v>0</v>
      </c>
      <c r="AN239" s="83">
        <f t="shared" si="394"/>
        <v>0</v>
      </c>
      <c r="AO239" s="83">
        <f t="shared" si="394"/>
        <v>0</v>
      </c>
      <c r="AP239" s="83">
        <f t="shared" si="394"/>
        <v>1.6230202767000947</v>
      </c>
      <c r="AQ239" s="83">
        <f t="shared" si="394"/>
        <v>0.91072591074347886</v>
      </c>
      <c r="AR239" s="83">
        <f t="shared" si="394"/>
        <v>2.1378190957226164</v>
      </c>
      <c r="AS239" s="83">
        <f t="shared" si="394"/>
        <v>0</v>
      </c>
      <c r="AT239" s="83">
        <f t="shared" si="394"/>
        <v>0.61401459141595283</v>
      </c>
      <c r="AU239" s="83">
        <f t="shared" si="394"/>
        <v>0</v>
      </c>
      <c r="AV239" s="83">
        <f t="shared" si="394"/>
        <v>0</v>
      </c>
      <c r="AW239" s="83"/>
      <c r="AX239" s="83"/>
      <c r="AY239" s="83">
        <f t="shared" ref="AY239:BL239" si="395">$BN$233*AY236</f>
        <v>0.87890198374935935</v>
      </c>
      <c r="AZ239" s="83">
        <f t="shared" si="395"/>
        <v>0.58593465583290616</v>
      </c>
      <c r="BA239" s="83">
        <f t="shared" si="395"/>
        <v>0</v>
      </c>
      <c r="BB239" s="83">
        <f t="shared" si="395"/>
        <v>0</v>
      </c>
      <c r="BC239" s="83">
        <f t="shared" si="395"/>
        <v>0</v>
      </c>
      <c r="BD239" s="83">
        <f t="shared" si="395"/>
        <v>0</v>
      </c>
      <c r="BE239" s="83">
        <f t="shared" si="395"/>
        <v>0.50543884049483923</v>
      </c>
      <c r="BF239" s="83">
        <f t="shared" si="395"/>
        <v>0.43898299294829551</v>
      </c>
      <c r="BG239" s="83">
        <f t="shared" si="395"/>
        <v>0.40996705951248069</v>
      </c>
      <c r="BH239" s="83">
        <f t="shared" si="395"/>
        <v>1.5443964570675643</v>
      </c>
      <c r="BI239" s="83">
        <f t="shared" si="395"/>
        <v>1.9000756411194883</v>
      </c>
      <c r="BJ239" s="83">
        <f t="shared" si="395"/>
        <v>0</v>
      </c>
      <c r="BK239" s="83">
        <f t="shared" si="395"/>
        <v>0</v>
      </c>
      <c r="BL239" s="83">
        <f t="shared" si="395"/>
        <v>0</v>
      </c>
      <c r="BM239" s="94">
        <f>SUM(G239:BL239)</f>
        <v>383.59999999999997</v>
      </c>
      <c r="BS239" s="94"/>
    </row>
    <row r="240" spans="1:71" hidden="1">
      <c r="BM240" s="83"/>
      <c r="BS240" s="83"/>
    </row>
    <row r="241" spans="1:71" hidden="1">
      <c r="A241" t="s">
        <v>179</v>
      </c>
      <c r="E241" s="83"/>
      <c r="F241" s="83"/>
      <c r="G241" s="83">
        <f>G232+G238</f>
        <v>3184.9551936811108</v>
      </c>
      <c r="H241" s="83">
        <f t="shared" ref="H241:BE241" si="396">H232+H238</f>
        <v>0</v>
      </c>
      <c r="I241" s="83">
        <f t="shared" si="396"/>
        <v>0</v>
      </c>
      <c r="J241" s="83">
        <f t="shared" si="396"/>
        <v>0</v>
      </c>
      <c r="K241" s="83">
        <f t="shared" si="396"/>
        <v>0</v>
      </c>
      <c r="L241" s="83">
        <f t="shared" si="396"/>
        <v>0</v>
      </c>
      <c r="M241" s="83">
        <f t="shared" si="396"/>
        <v>121.87474941586049</v>
      </c>
      <c r="N241" s="83">
        <f t="shared" si="396"/>
        <v>0</v>
      </c>
      <c r="O241" s="83">
        <f t="shared" si="396"/>
        <v>0</v>
      </c>
      <c r="P241" s="83">
        <f t="shared" si="396"/>
        <v>0</v>
      </c>
      <c r="Q241" s="83">
        <f t="shared" si="396"/>
        <v>0</v>
      </c>
      <c r="R241" s="83">
        <f t="shared" si="396"/>
        <v>121.87474941586049</v>
      </c>
      <c r="S241" s="83">
        <f t="shared" si="396"/>
        <v>0</v>
      </c>
      <c r="T241" s="83">
        <f t="shared" si="396"/>
        <v>0</v>
      </c>
      <c r="U241" s="83">
        <f t="shared" si="396"/>
        <v>0</v>
      </c>
      <c r="V241" s="83">
        <f t="shared" si="396"/>
        <v>0</v>
      </c>
      <c r="W241" s="83">
        <f t="shared" si="396"/>
        <v>0</v>
      </c>
      <c r="X241" s="83">
        <f t="shared" si="396"/>
        <v>0</v>
      </c>
      <c r="Y241" s="83">
        <f t="shared" si="396"/>
        <v>0</v>
      </c>
      <c r="Z241" s="83">
        <f t="shared" si="396"/>
        <v>0</v>
      </c>
      <c r="AA241" s="83">
        <f t="shared" si="396"/>
        <v>0</v>
      </c>
      <c r="AB241" s="83">
        <f t="shared" si="396"/>
        <v>1750.2906920229527</v>
      </c>
      <c r="AC241" s="83"/>
      <c r="AD241" s="83"/>
      <c r="AE241" s="83">
        <f t="shared" ref="AE241" si="397">AE232+AE238</f>
        <v>0</v>
      </c>
      <c r="AF241" s="83">
        <f t="shared" si="396"/>
        <v>0</v>
      </c>
      <c r="AG241" s="83">
        <f t="shared" ref="AG241:AH241" si="398">AG232+AG238</f>
        <v>372.8334373684138</v>
      </c>
      <c r="AH241" s="83">
        <f t="shared" si="398"/>
        <v>0</v>
      </c>
      <c r="AI241" s="83">
        <f t="shared" ref="AI241" si="399">AI232+AI238</f>
        <v>0</v>
      </c>
      <c r="AJ241" s="83">
        <f t="shared" ref="AJ241:AO241" si="400">AJ232+AJ238</f>
        <v>0</v>
      </c>
      <c r="AK241" s="83">
        <f t="shared" si="400"/>
        <v>0</v>
      </c>
      <c r="AL241" s="83">
        <f t="shared" si="400"/>
        <v>0</v>
      </c>
      <c r="AM241" s="83">
        <f t="shared" si="400"/>
        <v>0</v>
      </c>
      <c r="AN241" s="83">
        <f t="shared" si="400"/>
        <v>0</v>
      </c>
      <c r="AO241" s="83">
        <f t="shared" si="400"/>
        <v>0</v>
      </c>
      <c r="AP241" s="83">
        <f t="shared" si="396"/>
        <v>0</v>
      </c>
      <c r="AQ241" s="83">
        <f t="shared" si="396"/>
        <v>5681.988758817135</v>
      </c>
      <c r="AR241" s="83">
        <f t="shared" si="396"/>
        <v>0</v>
      </c>
      <c r="AS241" s="83">
        <f t="shared" si="396"/>
        <v>0</v>
      </c>
      <c r="AT241" s="83">
        <f t="shared" si="396"/>
        <v>0</v>
      </c>
      <c r="AU241" s="83">
        <f t="shared" si="396"/>
        <v>0</v>
      </c>
      <c r="AV241" s="83">
        <f t="shared" si="396"/>
        <v>0</v>
      </c>
      <c r="AW241" s="83"/>
      <c r="AX241" s="83"/>
      <c r="AY241" s="83">
        <f t="shared" si="396"/>
        <v>0</v>
      </c>
      <c r="AZ241" s="83">
        <f t="shared" si="396"/>
        <v>0</v>
      </c>
      <c r="BA241" s="83">
        <f t="shared" si="396"/>
        <v>0</v>
      </c>
      <c r="BB241" s="83">
        <f t="shared" si="396"/>
        <v>0</v>
      </c>
      <c r="BC241" s="83">
        <f t="shared" si="396"/>
        <v>0</v>
      </c>
      <c r="BD241" s="83">
        <f t="shared" si="396"/>
        <v>0</v>
      </c>
      <c r="BE241" s="83">
        <f t="shared" si="396"/>
        <v>2788.091125909923</v>
      </c>
      <c r="BF241" s="83">
        <f t="shared" ref="BF241:BL241" si="401">BF232+BF238</f>
        <v>3174.7332091067965</v>
      </c>
      <c r="BG241" s="83">
        <f t="shared" si="401"/>
        <v>0</v>
      </c>
      <c r="BH241" s="83">
        <f t="shared" si="401"/>
        <v>6261.521484261948</v>
      </c>
      <c r="BI241" s="83">
        <f t="shared" si="401"/>
        <v>0</v>
      </c>
      <c r="BJ241" s="83">
        <f t="shared" si="401"/>
        <v>0</v>
      </c>
      <c r="BK241" s="83">
        <f t="shared" si="401"/>
        <v>0</v>
      </c>
      <c r="BL241" s="83">
        <f t="shared" si="401"/>
        <v>0</v>
      </c>
      <c r="BM241" s="83">
        <f>SUM(G241:BL241)</f>
        <v>23458.163399999998</v>
      </c>
      <c r="BS241" s="83"/>
    </row>
    <row r="242" spans="1:71" hidden="1">
      <c r="A242" t="s">
        <v>180</v>
      </c>
      <c r="E242" s="83"/>
      <c r="F242" s="83"/>
      <c r="G242" s="83">
        <f>G233+G239</f>
        <v>5856.2623601054092</v>
      </c>
      <c r="H242" s="83">
        <f t="shared" ref="H242:BE242" si="402">H233+H239</f>
        <v>450.7915070541444</v>
      </c>
      <c r="I242" s="83">
        <f t="shared" si="402"/>
        <v>67.53688926628115</v>
      </c>
      <c r="J242" s="83">
        <f t="shared" si="402"/>
        <v>80.307735992972695</v>
      </c>
      <c r="K242" s="83">
        <f t="shared" si="402"/>
        <v>0</v>
      </c>
      <c r="L242" s="83">
        <f t="shared" si="402"/>
        <v>86.63931936168656</v>
      </c>
      <c r="M242" s="83">
        <f t="shared" si="402"/>
        <v>172.71870277920115</v>
      </c>
      <c r="N242" s="83">
        <f t="shared" si="402"/>
        <v>426.62811746333847</v>
      </c>
      <c r="O242" s="83">
        <f t="shared" si="402"/>
        <v>89.632823063221338</v>
      </c>
      <c r="P242" s="83">
        <f t="shared" si="402"/>
        <v>21.471389859209921</v>
      </c>
      <c r="Q242" s="83">
        <f t="shared" si="402"/>
        <v>84.098071615059894</v>
      </c>
      <c r="R242" s="83">
        <f t="shared" si="402"/>
        <v>220.7870499865798</v>
      </c>
      <c r="S242" s="83">
        <f t="shared" si="402"/>
        <v>31.270268882219458</v>
      </c>
      <c r="T242" s="83">
        <f t="shared" si="402"/>
        <v>1.9167038088963717</v>
      </c>
      <c r="U242" s="83">
        <f t="shared" si="402"/>
        <v>75.871320435302437</v>
      </c>
      <c r="V242" s="83">
        <f t="shared" si="402"/>
        <v>0</v>
      </c>
      <c r="W242" s="83">
        <f t="shared" si="402"/>
        <v>0</v>
      </c>
      <c r="X242" s="83">
        <f t="shared" si="402"/>
        <v>159.53867209330699</v>
      </c>
      <c r="Y242" s="83">
        <f t="shared" si="402"/>
        <v>0</v>
      </c>
      <c r="Z242" s="83">
        <f t="shared" si="402"/>
        <v>42.447451767806164</v>
      </c>
      <c r="AA242" s="83">
        <f t="shared" si="402"/>
        <v>31.054908903691775</v>
      </c>
      <c r="AB242" s="83">
        <f t="shared" si="402"/>
        <v>271.4827889319962</v>
      </c>
      <c r="AC242" s="83"/>
      <c r="AD242" s="83"/>
      <c r="AE242" s="83">
        <f t="shared" ref="AE242" si="403">AE233+AE239</f>
        <v>0</v>
      </c>
      <c r="AF242" s="83">
        <f t="shared" si="402"/>
        <v>0</v>
      </c>
      <c r="AG242" s="83">
        <f t="shared" ref="AG242:AH242" si="404">AG233+AG239</f>
        <v>260.93014998413975</v>
      </c>
      <c r="AH242" s="83">
        <f t="shared" si="404"/>
        <v>115.75598845862919</v>
      </c>
      <c r="AI242" s="83">
        <f t="shared" ref="AI242" si="405">AI233+AI239</f>
        <v>0.86143991411072884</v>
      </c>
      <c r="AJ242" s="83">
        <f t="shared" ref="AJ242:AO242" si="406">AJ233+AJ239</f>
        <v>3.1442556865041604</v>
      </c>
      <c r="AK242" s="83">
        <f t="shared" si="406"/>
        <v>4.6087035404923995</v>
      </c>
      <c r="AL242" s="83">
        <f t="shared" si="406"/>
        <v>4.6087035404923995</v>
      </c>
      <c r="AM242" s="83">
        <f t="shared" si="406"/>
        <v>0</v>
      </c>
      <c r="AN242" s="83">
        <f t="shared" si="406"/>
        <v>0</v>
      </c>
      <c r="AO242" s="83">
        <f t="shared" si="406"/>
        <v>0</v>
      </c>
      <c r="AP242" s="83">
        <f t="shared" si="402"/>
        <v>37.343420276700094</v>
      </c>
      <c r="AQ242" s="83">
        <f t="shared" si="402"/>
        <v>20.954525910743481</v>
      </c>
      <c r="AR242" s="83">
        <f t="shared" si="402"/>
        <v>49.188219095722623</v>
      </c>
      <c r="AS242" s="83">
        <f t="shared" si="402"/>
        <v>0</v>
      </c>
      <c r="AT242" s="83">
        <f t="shared" si="402"/>
        <v>14.127614591415954</v>
      </c>
      <c r="AU242" s="83">
        <f t="shared" si="402"/>
        <v>0</v>
      </c>
      <c r="AV242" s="83">
        <f t="shared" si="402"/>
        <v>0</v>
      </c>
      <c r="AW242" s="83"/>
      <c r="AX242" s="83"/>
      <c r="AY242" s="83">
        <f t="shared" si="402"/>
        <v>20.222301983749361</v>
      </c>
      <c r="AZ242" s="83">
        <f t="shared" si="402"/>
        <v>13.481534655832906</v>
      </c>
      <c r="BA242" s="83">
        <f t="shared" si="402"/>
        <v>0</v>
      </c>
      <c r="BB242" s="83">
        <f t="shared" si="402"/>
        <v>0</v>
      </c>
      <c r="BC242" s="83">
        <f t="shared" si="402"/>
        <v>0</v>
      </c>
      <c r="BD242" s="83">
        <f t="shared" si="402"/>
        <v>0</v>
      </c>
      <c r="BE242" s="83">
        <f t="shared" si="402"/>
        <v>11.62943884049484</v>
      </c>
      <c r="BF242" s="83">
        <f t="shared" ref="BF242:BL242" si="407">BF233+BF239</f>
        <v>10.100382992948296</v>
      </c>
      <c r="BG242" s="83">
        <f t="shared" si="407"/>
        <v>9.4327670595124804</v>
      </c>
      <c r="BH242" s="83">
        <f t="shared" si="407"/>
        <v>35.534396457067565</v>
      </c>
      <c r="BI242" s="83">
        <f t="shared" si="407"/>
        <v>43.718075641119491</v>
      </c>
      <c r="BJ242" s="83">
        <f t="shared" si="407"/>
        <v>0</v>
      </c>
      <c r="BK242" s="83">
        <f t="shared" si="407"/>
        <v>0</v>
      </c>
      <c r="BL242" s="83">
        <f t="shared" si="407"/>
        <v>0</v>
      </c>
      <c r="BM242" s="83">
        <f>SUM(G242:BL242)</f>
        <v>8826.0980000000018</v>
      </c>
      <c r="BS242" s="83"/>
    </row>
    <row r="243" spans="1:71" hidden="1">
      <c r="BM243" s="83"/>
      <c r="BS243" s="83"/>
    </row>
    <row r="244" spans="1:71" hidden="1">
      <c r="A244" t="s">
        <v>183</v>
      </c>
      <c r="E244" s="83"/>
      <c r="F244" s="83"/>
      <c r="G244" s="83">
        <v>13426.050000000001</v>
      </c>
      <c r="H244" s="83">
        <v>453.2</v>
      </c>
      <c r="I244" s="83">
        <v>0</v>
      </c>
      <c r="J244" s="83">
        <v>906.4</v>
      </c>
      <c r="K244" s="83">
        <v>0</v>
      </c>
      <c r="L244" s="83">
        <v>0</v>
      </c>
      <c r="M244" s="83">
        <v>0</v>
      </c>
      <c r="N244" s="83">
        <v>0</v>
      </c>
      <c r="O244" s="83">
        <v>0</v>
      </c>
      <c r="P244" s="83">
        <v>0</v>
      </c>
      <c r="Q244" s="83">
        <v>0</v>
      </c>
      <c r="R244" s="83">
        <v>0</v>
      </c>
      <c r="S244" s="83">
        <v>0</v>
      </c>
      <c r="T244" s="83">
        <v>0</v>
      </c>
      <c r="U244" s="83">
        <v>0</v>
      </c>
      <c r="V244" s="83">
        <v>0</v>
      </c>
      <c r="W244" s="83">
        <v>0</v>
      </c>
      <c r="X244" s="83">
        <v>0</v>
      </c>
      <c r="Y244" s="83">
        <v>0</v>
      </c>
      <c r="Z244" s="83">
        <v>0</v>
      </c>
      <c r="AA244" s="83">
        <v>0</v>
      </c>
      <c r="AB244" s="83">
        <v>0</v>
      </c>
      <c r="AC244" s="83"/>
      <c r="AD244" s="83"/>
      <c r="AE244" s="83">
        <v>0</v>
      </c>
      <c r="AF244" s="83">
        <v>0</v>
      </c>
      <c r="AG244" s="83">
        <v>0</v>
      </c>
      <c r="AH244" s="83">
        <v>0</v>
      </c>
      <c r="AI244" s="83">
        <v>0</v>
      </c>
      <c r="AJ244" s="83">
        <v>0</v>
      </c>
      <c r="AK244" s="83">
        <v>0</v>
      </c>
      <c r="AL244" s="83">
        <v>0</v>
      </c>
      <c r="AM244" s="83">
        <v>0</v>
      </c>
      <c r="AN244" s="83">
        <v>0</v>
      </c>
      <c r="AO244" s="83">
        <v>0</v>
      </c>
      <c r="AP244" s="83">
        <v>0</v>
      </c>
      <c r="AQ244" s="83">
        <v>1756.15</v>
      </c>
      <c r="AR244" s="83">
        <v>0</v>
      </c>
      <c r="AS244" s="83">
        <v>0</v>
      </c>
      <c r="AT244" s="83">
        <v>0</v>
      </c>
      <c r="AU244" s="83">
        <v>0</v>
      </c>
      <c r="AV244" s="83">
        <v>0</v>
      </c>
      <c r="AW244" s="83"/>
      <c r="AX244" s="83"/>
      <c r="AY244" s="83">
        <v>0</v>
      </c>
      <c r="AZ244" s="83">
        <v>0</v>
      </c>
      <c r="BA244" s="83">
        <v>0</v>
      </c>
      <c r="BB244" s="83">
        <v>0</v>
      </c>
      <c r="BC244" s="83">
        <v>0</v>
      </c>
      <c r="BD244" s="83">
        <v>0</v>
      </c>
      <c r="BE244" s="83">
        <v>0</v>
      </c>
      <c r="BF244" s="83">
        <v>0</v>
      </c>
      <c r="BG244" s="83">
        <v>0</v>
      </c>
      <c r="BH244" s="83">
        <v>283.25</v>
      </c>
      <c r="BI244" s="83">
        <v>0</v>
      </c>
      <c r="BJ244" s="83">
        <v>0</v>
      </c>
      <c r="BK244" s="83">
        <v>0</v>
      </c>
      <c r="BL244" s="83">
        <v>0</v>
      </c>
      <c r="BM244" s="83">
        <f>SUM(G244:BL244)</f>
        <v>16825.050000000003</v>
      </c>
      <c r="BN244" s="83">
        <v>1980</v>
      </c>
      <c r="BO244" s="94">
        <f>SUM(BM244:BN244)</f>
        <v>18805.050000000003</v>
      </c>
      <c r="BS244" s="83"/>
    </row>
    <row r="245" spans="1:71" hidden="1">
      <c r="A245" t="s">
        <v>184</v>
      </c>
      <c r="E245" s="83"/>
      <c r="F245" s="83"/>
      <c r="G245" s="83">
        <v>6205.5440000000008</v>
      </c>
      <c r="H245" s="83">
        <v>3356.6670000000004</v>
      </c>
      <c r="I245" s="83">
        <v>838.25520000000006</v>
      </c>
      <c r="J245" s="83">
        <v>1312.4260000000002</v>
      </c>
      <c r="K245" s="83">
        <v>395.16980000000001</v>
      </c>
      <c r="L245" s="83">
        <v>844.53820000000007</v>
      </c>
      <c r="M245" s="83">
        <v>1765.3170000000002</v>
      </c>
      <c r="N245" s="83">
        <v>3556.4870000000001</v>
      </c>
      <c r="O245" s="83">
        <v>1551.2624000000001</v>
      </c>
      <c r="P245" s="83">
        <v>444.11540000000002</v>
      </c>
      <c r="Q245" s="83">
        <v>833.80560000000003</v>
      </c>
      <c r="R245" s="83">
        <v>2001.2282</v>
      </c>
      <c r="S245" s="83">
        <v>216.1146</v>
      </c>
      <c r="T245" s="83">
        <v>19.858400000000003</v>
      </c>
      <c r="U245" s="83">
        <v>483.48199999999997</v>
      </c>
      <c r="V245" s="83">
        <v>0</v>
      </c>
      <c r="W245" s="83">
        <v>0</v>
      </c>
      <c r="X245" s="83">
        <v>1446.4908</v>
      </c>
      <c r="Y245" s="83">
        <v>0</v>
      </c>
      <c r="Z245" s="83">
        <v>0</v>
      </c>
      <c r="AA245" s="83">
        <v>0</v>
      </c>
      <c r="AB245" s="83">
        <v>2955.1523999999999</v>
      </c>
      <c r="AC245" s="83"/>
      <c r="AD245" s="83"/>
      <c r="AE245" s="83">
        <v>0</v>
      </c>
      <c r="AF245" s="83">
        <v>0</v>
      </c>
      <c r="AG245" s="83">
        <v>2625.9232000000002</v>
      </c>
      <c r="AH245" s="83">
        <v>1171.5632000000001</v>
      </c>
      <c r="AI245" s="83">
        <v>26.3474</v>
      </c>
      <c r="AJ245" s="83">
        <v>0</v>
      </c>
      <c r="AK245" s="83">
        <v>0</v>
      </c>
      <c r="AL245" s="83">
        <v>0</v>
      </c>
      <c r="AM245" s="83">
        <v>0</v>
      </c>
      <c r="AN245" s="83">
        <v>0</v>
      </c>
      <c r="AO245" s="83">
        <v>0</v>
      </c>
      <c r="AP245" s="83">
        <v>325.274</v>
      </c>
      <c r="AQ245" s="83">
        <v>321.46300000000002</v>
      </c>
      <c r="AR245" s="83">
        <v>835.24760000000003</v>
      </c>
      <c r="AS245" s="83">
        <v>0</v>
      </c>
      <c r="AT245" s="83">
        <v>0</v>
      </c>
      <c r="AU245" s="83">
        <v>0</v>
      </c>
      <c r="AV245" s="83">
        <v>0</v>
      </c>
      <c r="AW245" s="83"/>
      <c r="AX245" s="83"/>
      <c r="AY245" s="83">
        <v>700.93560000000002</v>
      </c>
      <c r="AZ245" s="83">
        <v>0</v>
      </c>
      <c r="BA245" s="83">
        <v>0</v>
      </c>
      <c r="BB245" s="83">
        <v>2158.4474</v>
      </c>
      <c r="BC245" s="83">
        <v>0</v>
      </c>
      <c r="BD245" s="83">
        <v>0</v>
      </c>
      <c r="BE245" s="83">
        <v>179.81740000000002</v>
      </c>
      <c r="BF245" s="83">
        <v>179.81740000000002</v>
      </c>
      <c r="BG245" s="83">
        <v>195.57640000000001</v>
      </c>
      <c r="BH245" s="83">
        <v>384.2106</v>
      </c>
      <c r="BI245" s="83">
        <v>801.66960000000006</v>
      </c>
      <c r="BJ245" s="83">
        <v>0</v>
      </c>
      <c r="BK245" s="83">
        <v>0</v>
      </c>
      <c r="BL245" s="83">
        <v>0</v>
      </c>
      <c r="BM245" s="83">
        <f>SUM(G245:BL245)</f>
        <v>38132.206799999993</v>
      </c>
      <c r="BN245" s="83">
        <v>5354.9</v>
      </c>
      <c r="BO245" s="94">
        <f>SUM(BM245:BN245)</f>
        <v>43487.106799999994</v>
      </c>
      <c r="BS245" s="83"/>
    </row>
    <row r="246" spans="1:71" hidden="1">
      <c r="BM246" s="83"/>
      <c r="BS246" s="83"/>
    </row>
    <row r="247" spans="1:71" hidden="1">
      <c r="A247" t="s">
        <v>183</v>
      </c>
      <c r="E247" s="77"/>
      <c r="F247" s="77"/>
      <c r="G247" s="77">
        <f t="shared" ref="G247:AB247" si="408">G244/$BM$244</f>
        <v>0.7979797979797979</v>
      </c>
      <c r="H247" s="77">
        <f t="shared" si="408"/>
        <v>2.6936026936026931E-2</v>
      </c>
      <c r="I247" s="77">
        <f t="shared" si="408"/>
        <v>0</v>
      </c>
      <c r="J247" s="77">
        <f t="shared" si="408"/>
        <v>5.3872053872053863E-2</v>
      </c>
      <c r="K247" s="77">
        <f t="shared" si="408"/>
        <v>0</v>
      </c>
      <c r="L247" s="77">
        <f t="shared" si="408"/>
        <v>0</v>
      </c>
      <c r="M247" s="77">
        <f t="shared" si="408"/>
        <v>0</v>
      </c>
      <c r="N247" s="77">
        <f t="shared" si="408"/>
        <v>0</v>
      </c>
      <c r="O247" s="77">
        <f t="shared" si="408"/>
        <v>0</v>
      </c>
      <c r="P247" s="77">
        <f t="shared" si="408"/>
        <v>0</v>
      </c>
      <c r="Q247" s="77">
        <f t="shared" si="408"/>
        <v>0</v>
      </c>
      <c r="R247" s="77">
        <f t="shared" si="408"/>
        <v>0</v>
      </c>
      <c r="S247" s="77">
        <f t="shared" si="408"/>
        <v>0</v>
      </c>
      <c r="T247" s="77">
        <f t="shared" si="408"/>
        <v>0</v>
      </c>
      <c r="U247" s="77">
        <f t="shared" si="408"/>
        <v>0</v>
      </c>
      <c r="V247" s="77">
        <f t="shared" si="408"/>
        <v>0</v>
      </c>
      <c r="W247" s="77">
        <f t="shared" si="408"/>
        <v>0</v>
      </c>
      <c r="X247" s="77">
        <f t="shared" si="408"/>
        <v>0</v>
      </c>
      <c r="Y247" s="77">
        <f t="shared" si="408"/>
        <v>0</v>
      </c>
      <c r="Z247" s="77">
        <f t="shared" si="408"/>
        <v>0</v>
      </c>
      <c r="AA247" s="77">
        <f t="shared" si="408"/>
        <v>0</v>
      </c>
      <c r="AB247" s="77">
        <f t="shared" si="408"/>
        <v>0</v>
      </c>
      <c r="AC247" s="77"/>
      <c r="AD247" s="77"/>
      <c r="AE247" s="77">
        <f t="shared" ref="AE247:AV247" si="409">AE244/$BM$244</f>
        <v>0</v>
      </c>
      <c r="AF247" s="77">
        <f t="shared" si="409"/>
        <v>0</v>
      </c>
      <c r="AG247" s="77">
        <f t="shared" si="409"/>
        <v>0</v>
      </c>
      <c r="AH247" s="77">
        <f t="shared" si="409"/>
        <v>0</v>
      </c>
      <c r="AI247" s="77">
        <f t="shared" si="409"/>
        <v>0</v>
      </c>
      <c r="AJ247" s="77">
        <f t="shared" si="409"/>
        <v>0</v>
      </c>
      <c r="AK247" s="77">
        <f t="shared" si="409"/>
        <v>0</v>
      </c>
      <c r="AL247" s="77">
        <f t="shared" si="409"/>
        <v>0</v>
      </c>
      <c r="AM247" s="77">
        <f t="shared" si="409"/>
        <v>0</v>
      </c>
      <c r="AN247" s="77">
        <f t="shared" si="409"/>
        <v>0</v>
      </c>
      <c r="AO247" s="77">
        <f t="shared" si="409"/>
        <v>0</v>
      </c>
      <c r="AP247" s="77">
        <f t="shared" si="409"/>
        <v>0</v>
      </c>
      <c r="AQ247" s="77">
        <f t="shared" si="409"/>
        <v>0.10437710437710436</v>
      </c>
      <c r="AR247" s="77">
        <f t="shared" si="409"/>
        <v>0</v>
      </c>
      <c r="AS247" s="77">
        <f t="shared" si="409"/>
        <v>0</v>
      </c>
      <c r="AT247" s="77">
        <f t="shared" si="409"/>
        <v>0</v>
      </c>
      <c r="AU247" s="77">
        <f t="shared" si="409"/>
        <v>0</v>
      </c>
      <c r="AV247" s="77">
        <f t="shared" si="409"/>
        <v>0</v>
      </c>
      <c r="AW247" s="77"/>
      <c r="AX247" s="77"/>
      <c r="AY247" s="77">
        <f t="shared" ref="AY247:BL247" si="410">AY244/$BM$244</f>
        <v>0</v>
      </c>
      <c r="AZ247" s="77">
        <f t="shared" si="410"/>
        <v>0</v>
      </c>
      <c r="BA247" s="77">
        <f t="shared" si="410"/>
        <v>0</v>
      </c>
      <c r="BB247" s="77">
        <f t="shared" si="410"/>
        <v>0</v>
      </c>
      <c r="BC247" s="77">
        <f t="shared" si="410"/>
        <v>0</v>
      </c>
      <c r="BD247" s="77">
        <f t="shared" si="410"/>
        <v>0</v>
      </c>
      <c r="BE247" s="77">
        <f t="shared" si="410"/>
        <v>0</v>
      </c>
      <c r="BF247" s="77">
        <f t="shared" si="410"/>
        <v>0</v>
      </c>
      <c r="BG247" s="77">
        <f t="shared" si="410"/>
        <v>0</v>
      </c>
      <c r="BH247" s="77">
        <f t="shared" si="410"/>
        <v>1.6835016835016831E-2</v>
      </c>
      <c r="BI247" s="77">
        <f t="shared" si="410"/>
        <v>0</v>
      </c>
      <c r="BJ247" s="77">
        <f t="shared" si="410"/>
        <v>0</v>
      </c>
      <c r="BK247" s="77">
        <f t="shared" si="410"/>
        <v>0</v>
      </c>
      <c r="BL247" s="77">
        <f t="shared" si="410"/>
        <v>0</v>
      </c>
      <c r="BM247" s="77">
        <f>SUM(G247:BL247)</f>
        <v>0.99999999999999989</v>
      </c>
      <c r="BS247" s="77"/>
    </row>
    <row r="248" spans="1:71" hidden="1">
      <c r="A248" t="s">
        <v>184</v>
      </c>
      <c r="E248" s="77"/>
      <c r="F248" s="77"/>
      <c r="G248" s="77">
        <f t="shared" ref="G248:AB248" si="411">G245/$BM$245</f>
        <v>0.16273760479028981</v>
      </c>
      <c r="H248" s="77">
        <f t="shared" si="411"/>
        <v>8.8027084758178775E-2</v>
      </c>
      <c r="I248" s="77">
        <f t="shared" si="411"/>
        <v>2.1982866200127717E-2</v>
      </c>
      <c r="J248" s="77">
        <f t="shared" si="411"/>
        <v>3.4417782502952347E-2</v>
      </c>
      <c r="K248" s="77">
        <f t="shared" si="411"/>
        <v>1.0363150553353238E-2</v>
      </c>
      <c r="L248" s="77">
        <f t="shared" si="411"/>
        <v>2.2147635053736261E-2</v>
      </c>
      <c r="M248" s="77">
        <f t="shared" si="411"/>
        <v>4.6294645606506063E-2</v>
      </c>
      <c r="N248" s="77">
        <f t="shared" si="411"/>
        <v>9.3267274528680069E-2</v>
      </c>
      <c r="O248" s="77">
        <f t="shared" si="411"/>
        <v>4.0681159843075236E-2</v>
      </c>
      <c r="P248" s="77">
        <f t="shared" si="411"/>
        <v>1.1646726934251287E-2</v>
      </c>
      <c r="Q248" s="77">
        <f t="shared" si="411"/>
        <v>2.1866177438227892E-2</v>
      </c>
      <c r="R248" s="77">
        <f t="shared" si="411"/>
        <v>5.2481310890194803E-2</v>
      </c>
      <c r="S248" s="77">
        <f t="shared" si="411"/>
        <v>5.6675083383844454E-3</v>
      </c>
      <c r="T248" s="77">
        <f t="shared" si="411"/>
        <v>5.2077762255291259E-4</v>
      </c>
      <c r="U248" s="77">
        <f t="shared" si="411"/>
        <v>1.2679098341614996E-2</v>
      </c>
      <c r="V248" s="77">
        <f t="shared" si="411"/>
        <v>0</v>
      </c>
      <c r="W248" s="77">
        <f t="shared" si="411"/>
        <v>0</v>
      </c>
      <c r="X248" s="77">
        <f t="shared" si="411"/>
        <v>3.7933571680934038E-2</v>
      </c>
      <c r="Y248" s="77">
        <f t="shared" si="411"/>
        <v>0</v>
      </c>
      <c r="Z248" s="77">
        <f t="shared" si="411"/>
        <v>0</v>
      </c>
      <c r="AA248" s="77">
        <f t="shared" si="411"/>
        <v>0</v>
      </c>
      <c r="AB248" s="77">
        <f t="shared" si="411"/>
        <v>7.7497544673968369E-2</v>
      </c>
      <c r="AC248" s="77"/>
      <c r="AD248" s="77"/>
      <c r="AE248" s="77">
        <f t="shared" ref="AE248:AV248" si="412">AE245/$BM$245</f>
        <v>0</v>
      </c>
      <c r="AF248" s="77">
        <f t="shared" si="412"/>
        <v>0</v>
      </c>
      <c r="AG248" s="77">
        <f t="shared" si="412"/>
        <v>6.8863656744880569E-2</v>
      </c>
      <c r="AH248" s="77">
        <f t="shared" si="412"/>
        <v>3.0723718827623696E-2</v>
      </c>
      <c r="AI248" s="77">
        <f t="shared" si="412"/>
        <v>6.9094873365682066E-4</v>
      </c>
      <c r="AJ248" s="77">
        <f t="shared" si="412"/>
        <v>0</v>
      </c>
      <c r="AK248" s="77">
        <f t="shared" si="412"/>
        <v>0</v>
      </c>
      <c r="AL248" s="77">
        <f t="shared" si="412"/>
        <v>0</v>
      </c>
      <c r="AM248" s="77">
        <f t="shared" si="412"/>
        <v>0</v>
      </c>
      <c r="AN248" s="77">
        <f t="shared" si="412"/>
        <v>0</v>
      </c>
      <c r="AO248" s="77">
        <f t="shared" si="412"/>
        <v>0</v>
      </c>
      <c r="AP248" s="77">
        <f t="shared" si="412"/>
        <v>8.5301645851768547E-3</v>
      </c>
      <c r="AQ248" s="77">
        <f t="shared" si="412"/>
        <v>8.4302228215126559E-3</v>
      </c>
      <c r="AR248" s="77">
        <f t="shared" si="412"/>
        <v>2.1903993240695425E-2</v>
      </c>
      <c r="AS248" s="77">
        <f t="shared" si="412"/>
        <v>0</v>
      </c>
      <c r="AT248" s="77">
        <f t="shared" si="412"/>
        <v>0</v>
      </c>
      <c r="AU248" s="77">
        <f t="shared" si="412"/>
        <v>0</v>
      </c>
      <c r="AV248" s="77">
        <f t="shared" si="412"/>
        <v>0</v>
      </c>
      <c r="AW248" s="77"/>
      <c r="AX248" s="77"/>
      <c r="AY248" s="77">
        <f t="shared" ref="AY248:BL248" si="413">AY245/$BM$245</f>
        <v>1.8381721353719297E-2</v>
      </c>
      <c r="AZ248" s="77">
        <f t="shared" si="413"/>
        <v>0</v>
      </c>
      <c r="BA248" s="77">
        <f t="shared" si="413"/>
        <v>0</v>
      </c>
      <c r="BB248" s="77">
        <f t="shared" si="413"/>
        <v>5.6604313810655206E-2</v>
      </c>
      <c r="BC248" s="77">
        <f t="shared" si="413"/>
        <v>0</v>
      </c>
      <c r="BD248" s="77">
        <f t="shared" si="413"/>
        <v>0</v>
      </c>
      <c r="BE248" s="77">
        <f t="shared" si="413"/>
        <v>4.7156305677016324E-3</v>
      </c>
      <c r="BF248" s="77">
        <f t="shared" si="413"/>
        <v>4.7156305677016324E-3</v>
      </c>
      <c r="BG248" s="77">
        <f t="shared" si="413"/>
        <v>5.1289032660968379E-3</v>
      </c>
      <c r="BH248" s="77">
        <f t="shared" si="413"/>
        <v>1.007575045459997E-2</v>
      </c>
      <c r="BI248" s="77">
        <f t="shared" si="413"/>
        <v>2.1023425268951394E-2</v>
      </c>
      <c r="BJ248" s="77">
        <f t="shared" si="413"/>
        <v>0</v>
      </c>
      <c r="BK248" s="77">
        <f t="shared" si="413"/>
        <v>0</v>
      </c>
      <c r="BL248" s="77">
        <f t="shared" si="413"/>
        <v>0</v>
      </c>
      <c r="BM248" s="77">
        <f>SUM(G248:BL248)</f>
        <v>1.0000000000000002</v>
      </c>
      <c r="BS248" s="77"/>
    </row>
    <row r="249" spans="1:71" hidden="1">
      <c r="BM249" s="83"/>
      <c r="BS249" s="83"/>
    </row>
    <row r="250" spans="1:71" hidden="1">
      <c r="A250" t="s">
        <v>183</v>
      </c>
      <c r="E250" s="83"/>
      <c r="F250" s="83"/>
      <c r="G250" s="83">
        <f t="shared" ref="G250:AB250" si="414">$BN$244*G247</f>
        <v>1579.9999999999998</v>
      </c>
      <c r="H250" s="83">
        <f t="shared" si="414"/>
        <v>53.333333333333321</v>
      </c>
      <c r="I250" s="83">
        <f t="shared" si="414"/>
        <v>0</v>
      </c>
      <c r="J250" s="83">
        <f t="shared" si="414"/>
        <v>106.66666666666664</v>
      </c>
      <c r="K250" s="83">
        <f t="shared" si="414"/>
        <v>0</v>
      </c>
      <c r="L250" s="83">
        <f t="shared" si="414"/>
        <v>0</v>
      </c>
      <c r="M250" s="83">
        <f t="shared" si="414"/>
        <v>0</v>
      </c>
      <c r="N250" s="83">
        <f t="shared" si="414"/>
        <v>0</v>
      </c>
      <c r="O250" s="83">
        <f t="shared" si="414"/>
        <v>0</v>
      </c>
      <c r="P250" s="83">
        <f t="shared" si="414"/>
        <v>0</v>
      </c>
      <c r="Q250" s="83">
        <f t="shared" si="414"/>
        <v>0</v>
      </c>
      <c r="R250" s="83">
        <f t="shared" si="414"/>
        <v>0</v>
      </c>
      <c r="S250" s="83">
        <f t="shared" si="414"/>
        <v>0</v>
      </c>
      <c r="T250" s="83">
        <f t="shared" si="414"/>
        <v>0</v>
      </c>
      <c r="U250" s="83">
        <f t="shared" si="414"/>
        <v>0</v>
      </c>
      <c r="V250" s="83">
        <f t="shared" si="414"/>
        <v>0</v>
      </c>
      <c r="W250" s="83">
        <f t="shared" si="414"/>
        <v>0</v>
      </c>
      <c r="X250" s="83">
        <f t="shared" si="414"/>
        <v>0</v>
      </c>
      <c r="Y250" s="83">
        <f t="shared" si="414"/>
        <v>0</v>
      </c>
      <c r="Z250" s="83">
        <f t="shared" si="414"/>
        <v>0</v>
      </c>
      <c r="AA250" s="83">
        <f t="shared" si="414"/>
        <v>0</v>
      </c>
      <c r="AB250" s="83">
        <f t="shared" si="414"/>
        <v>0</v>
      </c>
      <c r="AC250" s="83"/>
      <c r="AD250" s="83"/>
      <c r="AE250" s="83">
        <f t="shared" ref="AE250:AV250" si="415">$BN$244*AE247</f>
        <v>0</v>
      </c>
      <c r="AF250" s="83">
        <f t="shared" si="415"/>
        <v>0</v>
      </c>
      <c r="AG250" s="83">
        <f t="shared" si="415"/>
        <v>0</v>
      </c>
      <c r="AH250" s="83">
        <f t="shared" si="415"/>
        <v>0</v>
      </c>
      <c r="AI250" s="83">
        <f t="shared" si="415"/>
        <v>0</v>
      </c>
      <c r="AJ250" s="83">
        <f t="shared" si="415"/>
        <v>0</v>
      </c>
      <c r="AK250" s="83">
        <f t="shared" si="415"/>
        <v>0</v>
      </c>
      <c r="AL250" s="83">
        <f t="shared" si="415"/>
        <v>0</v>
      </c>
      <c r="AM250" s="83">
        <f t="shared" si="415"/>
        <v>0</v>
      </c>
      <c r="AN250" s="83">
        <f t="shared" si="415"/>
        <v>0</v>
      </c>
      <c r="AO250" s="83">
        <f t="shared" si="415"/>
        <v>0</v>
      </c>
      <c r="AP250" s="83">
        <f t="shared" si="415"/>
        <v>0</v>
      </c>
      <c r="AQ250" s="83">
        <f t="shared" si="415"/>
        <v>206.66666666666663</v>
      </c>
      <c r="AR250" s="83">
        <f t="shared" si="415"/>
        <v>0</v>
      </c>
      <c r="AS250" s="83">
        <f t="shared" si="415"/>
        <v>0</v>
      </c>
      <c r="AT250" s="83">
        <f t="shared" si="415"/>
        <v>0</v>
      </c>
      <c r="AU250" s="83">
        <f t="shared" si="415"/>
        <v>0</v>
      </c>
      <c r="AV250" s="83">
        <f t="shared" si="415"/>
        <v>0</v>
      </c>
      <c r="AW250" s="83"/>
      <c r="AX250" s="83"/>
      <c r="AY250" s="83">
        <f t="shared" ref="AY250:BL250" si="416">$BN$244*AY247</f>
        <v>0</v>
      </c>
      <c r="AZ250" s="83">
        <f t="shared" si="416"/>
        <v>0</v>
      </c>
      <c r="BA250" s="83">
        <f t="shared" si="416"/>
        <v>0</v>
      </c>
      <c r="BB250" s="83">
        <f t="shared" si="416"/>
        <v>0</v>
      </c>
      <c r="BC250" s="83">
        <f t="shared" si="416"/>
        <v>0</v>
      </c>
      <c r="BD250" s="83">
        <f t="shared" si="416"/>
        <v>0</v>
      </c>
      <c r="BE250" s="83">
        <f t="shared" si="416"/>
        <v>0</v>
      </c>
      <c r="BF250" s="83">
        <f t="shared" si="416"/>
        <v>0</v>
      </c>
      <c r="BG250" s="83">
        <f t="shared" si="416"/>
        <v>0</v>
      </c>
      <c r="BH250" s="83">
        <f t="shared" si="416"/>
        <v>33.333333333333329</v>
      </c>
      <c r="BI250" s="83">
        <f t="shared" si="416"/>
        <v>0</v>
      </c>
      <c r="BJ250" s="83">
        <f t="shared" si="416"/>
        <v>0</v>
      </c>
      <c r="BK250" s="83">
        <f t="shared" si="416"/>
        <v>0</v>
      </c>
      <c r="BL250" s="83">
        <f t="shared" si="416"/>
        <v>0</v>
      </c>
      <c r="BM250" s="83">
        <f>SUM(G250:BL250)</f>
        <v>1979.9999999999998</v>
      </c>
      <c r="BS250" s="83"/>
    </row>
    <row r="251" spans="1:71" hidden="1">
      <c r="A251" t="s">
        <v>184</v>
      </c>
      <c r="E251" s="83"/>
      <c r="F251" s="83"/>
      <c r="G251" s="83">
        <f t="shared" ref="G251:AB251" si="417">$BN$245*G248</f>
        <v>871.44359989152281</v>
      </c>
      <c r="H251" s="83">
        <f t="shared" si="417"/>
        <v>471.37623617157146</v>
      </c>
      <c r="I251" s="83">
        <f t="shared" si="417"/>
        <v>117.7160502150639</v>
      </c>
      <c r="J251" s="83">
        <f t="shared" si="417"/>
        <v>184.30378352505952</v>
      </c>
      <c r="K251" s="83">
        <f t="shared" si="417"/>
        <v>55.49363489815125</v>
      </c>
      <c r="L251" s="83">
        <f t="shared" si="417"/>
        <v>118.5983709492523</v>
      </c>
      <c r="M251" s="83">
        <f t="shared" si="417"/>
        <v>247.9031977582793</v>
      </c>
      <c r="N251" s="83">
        <f t="shared" si="417"/>
        <v>499.43692837362886</v>
      </c>
      <c r="O251" s="83">
        <f t="shared" si="417"/>
        <v>217.84354284368357</v>
      </c>
      <c r="P251" s="83">
        <f t="shared" si="417"/>
        <v>62.367058060222213</v>
      </c>
      <c r="Q251" s="83">
        <f t="shared" si="417"/>
        <v>117.09119356396653</v>
      </c>
      <c r="R251" s="83">
        <f t="shared" si="417"/>
        <v>281.03217168590413</v>
      </c>
      <c r="S251" s="83">
        <f t="shared" si="417"/>
        <v>30.348940401214865</v>
      </c>
      <c r="T251" s="83">
        <f t="shared" si="417"/>
        <v>2.7887120910085916</v>
      </c>
      <c r="U251" s="83">
        <f t="shared" si="417"/>
        <v>67.895303709514138</v>
      </c>
      <c r="V251" s="83">
        <f t="shared" si="417"/>
        <v>0</v>
      </c>
      <c r="W251" s="83">
        <f t="shared" si="417"/>
        <v>0</v>
      </c>
      <c r="X251" s="83">
        <f t="shared" si="417"/>
        <v>203.13048299423366</v>
      </c>
      <c r="Y251" s="83">
        <f t="shared" si="417"/>
        <v>0</v>
      </c>
      <c r="Z251" s="83">
        <f t="shared" si="417"/>
        <v>0</v>
      </c>
      <c r="AA251" s="83">
        <f t="shared" si="417"/>
        <v>0</v>
      </c>
      <c r="AB251" s="83">
        <f t="shared" si="417"/>
        <v>414.99160197463317</v>
      </c>
      <c r="AC251" s="83"/>
      <c r="AD251" s="83"/>
      <c r="AE251" s="83">
        <f t="shared" ref="AE251:AV251" si="418">$BN$245*AE248</f>
        <v>0</v>
      </c>
      <c r="AF251" s="83">
        <f t="shared" si="418"/>
        <v>0</v>
      </c>
      <c r="AG251" s="83">
        <f t="shared" si="418"/>
        <v>368.75799550316094</v>
      </c>
      <c r="AH251" s="83">
        <f t="shared" si="418"/>
        <v>164.52244195004212</v>
      </c>
      <c r="AI251" s="83">
        <f t="shared" si="418"/>
        <v>3.6999613738589088</v>
      </c>
      <c r="AJ251" s="83">
        <f t="shared" si="418"/>
        <v>0</v>
      </c>
      <c r="AK251" s="83">
        <f t="shared" si="418"/>
        <v>0</v>
      </c>
      <c r="AL251" s="83">
        <f t="shared" si="418"/>
        <v>0</v>
      </c>
      <c r="AM251" s="83">
        <f t="shared" si="418"/>
        <v>0</v>
      </c>
      <c r="AN251" s="83">
        <f t="shared" si="418"/>
        <v>0</v>
      </c>
      <c r="AO251" s="83">
        <f t="shared" si="418"/>
        <v>0</v>
      </c>
      <c r="AP251" s="83">
        <f t="shared" si="418"/>
        <v>45.678178337163537</v>
      </c>
      <c r="AQ251" s="83">
        <f t="shared" si="418"/>
        <v>45.143000186918115</v>
      </c>
      <c r="AR251" s="83">
        <f t="shared" si="418"/>
        <v>117.29369340459992</v>
      </c>
      <c r="AS251" s="83">
        <f t="shared" si="418"/>
        <v>0</v>
      </c>
      <c r="AT251" s="83">
        <f t="shared" si="418"/>
        <v>0</v>
      </c>
      <c r="AU251" s="83">
        <f t="shared" si="418"/>
        <v>0</v>
      </c>
      <c r="AV251" s="83">
        <f t="shared" si="418"/>
        <v>0</v>
      </c>
      <c r="AW251" s="83"/>
      <c r="AX251" s="83"/>
      <c r="AY251" s="83">
        <f t="shared" ref="AY251:BL251" si="419">$BN$245*AY248</f>
        <v>98.43227967703146</v>
      </c>
      <c r="AZ251" s="83">
        <f t="shared" si="419"/>
        <v>0</v>
      </c>
      <c r="BA251" s="83">
        <f t="shared" si="419"/>
        <v>0</v>
      </c>
      <c r="BB251" s="83">
        <f t="shared" si="419"/>
        <v>303.11044002467753</v>
      </c>
      <c r="BC251" s="83">
        <f t="shared" si="419"/>
        <v>0</v>
      </c>
      <c r="BD251" s="83">
        <f t="shared" si="419"/>
        <v>0</v>
      </c>
      <c r="BE251" s="83">
        <f t="shared" si="419"/>
        <v>25.251730126985471</v>
      </c>
      <c r="BF251" s="83">
        <f t="shared" si="419"/>
        <v>25.251730126985471</v>
      </c>
      <c r="BG251" s="83">
        <f t="shared" si="419"/>
        <v>27.464764099621956</v>
      </c>
      <c r="BH251" s="83">
        <f t="shared" si="419"/>
        <v>53.954636109337379</v>
      </c>
      <c r="BI251" s="83">
        <f t="shared" si="419"/>
        <v>112.57833997270781</v>
      </c>
      <c r="BJ251" s="83">
        <f t="shared" si="419"/>
        <v>0</v>
      </c>
      <c r="BK251" s="83">
        <f t="shared" si="419"/>
        <v>0</v>
      </c>
      <c r="BL251" s="83">
        <f t="shared" si="419"/>
        <v>0</v>
      </c>
      <c r="BM251" s="83">
        <f>SUM(G251:BL251)</f>
        <v>5354.9000000000005</v>
      </c>
      <c r="BS251" s="83"/>
    </row>
    <row r="252" spans="1:71" hidden="1">
      <c r="BM252" s="83"/>
      <c r="BS252" s="83"/>
    </row>
    <row r="253" spans="1:71" hidden="1">
      <c r="A253" t="s">
        <v>183</v>
      </c>
      <c r="E253" s="83"/>
      <c r="F253" s="83"/>
      <c r="G253" s="83">
        <f>G244+G250</f>
        <v>15006.050000000001</v>
      </c>
      <c r="H253" s="83">
        <f t="shared" ref="H253:BE253" si="420">H244+H250</f>
        <v>506.5333333333333</v>
      </c>
      <c r="I253" s="83">
        <f t="shared" si="420"/>
        <v>0</v>
      </c>
      <c r="J253" s="83">
        <f t="shared" si="420"/>
        <v>1013.0666666666666</v>
      </c>
      <c r="K253" s="83">
        <f t="shared" si="420"/>
        <v>0</v>
      </c>
      <c r="L253" s="83">
        <f t="shared" si="420"/>
        <v>0</v>
      </c>
      <c r="M253" s="83">
        <f t="shared" si="420"/>
        <v>0</v>
      </c>
      <c r="N253" s="83">
        <f t="shared" si="420"/>
        <v>0</v>
      </c>
      <c r="O253" s="83">
        <f t="shared" si="420"/>
        <v>0</v>
      </c>
      <c r="P253" s="83">
        <f t="shared" si="420"/>
        <v>0</v>
      </c>
      <c r="Q253" s="83">
        <f t="shared" si="420"/>
        <v>0</v>
      </c>
      <c r="R253" s="83">
        <f t="shared" si="420"/>
        <v>0</v>
      </c>
      <c r="S253" s="83">
        <f t="shared" si="420"/>
        <v>0</v>
      </c>
      <c r="T253" s="83">
        <f t="shared" si="420"/>
        <v>0</v>
      </c>
      <c r="U253" s="83">
        <f t="shared" si="420"/>
        <v>0</v>
      </c>
      <c r="V253" s="83">
        <f t="shared" si="420"/>
        <v>0</v>
      </c>
      <c r="W253" s="83">
        <f t="shared" si="420"/>
        <v>0</v>
      </c>
      <c r="X253" s="83">
        <f t="shared" si="420"/>
        <v>0</v>
      </c>
      <c r="Y253" s="83">
        <f t="shared" si="420"/>
        <v>0</v>
      </c>
      <c r="Z253" s="83">
        <f t="shared" si="420"/>
        <v>0</v>
      </c>
      <c r="AA253" s="83">
        <f t="shared" si="420"/>
        <v>0</v>
      </c>
      <c r="AB253" s="83">
        <f t="shared" si="420"/>
        <v>0</v>
      </c>
      <c r="AC253" s="83"/>
      <c r="AD253" s="83"/>
      <c r="AE253" s="83">
        <f t="shared" ref="AE253" si="421">AE244+AE250</f>
        <v>0</v>
      </c>
      <c r="AF253" s="83">
        <f t="shared" si="420"/>
        <v>0</v>
      </c>
      <c r="AG253" s="83">
        <f t="shared" ref="AG253:AH253" si="422">AG244+AG250</f>
        <v>0</v>
      </c>
      <c r="AH253" s="83">
        <f t="shared" si="422"/>
        <v>0</v>
      </c>
      <c r="AI253" s="83">
        <f t="shared" ref="AI253" si="423">AI244+AI250</f>
        <v>0</v>
      </c>
      <c r="AJ253" s="83">
        <f t="shared" ref="AJ253:AO253" si="424">AJ244+AJ250</f>
        <v>0</v>
      </c>
      <c r="AK253" s="83">
        <f t="shared" si="424"/>
        <v>0</v>
      </c>
      <c r="AL253" s="83">
        <f t="shared" si="424"/>
        <v>0</v>
      </c>
      <c r="AM253" s="83">
        <f t="shared" si="424"/>
        <v>0</v>
      </c>
      <c r="AN253" s="83">
        <f t="shared" si="424"/>
        <v>0</v>
      </c>
      <c r="AO253" s="83">
        <f t="shared" si="424"/>
        <v>0</v>
      </c>
      <c r="AP253" s="83">
        <f t="shared" si="420"/>
        <v>0</v>
      </c>
      <c r="AQ253" s="83">
        <f t="shared" si="420"/>
        <v>1962.8166666666666</v>
      </c>
      <c r="AR253" s="83">
        <f t="shared" si="420"/>
        <v>0</v>
      </c>
      <c r="AS253" s="83">
        <f t="shared" si="420"/>
        <v>0</v>
      </c>
      <c r="AT253" s="83">
        <f t="shared" si="420"/>
        <v>0</v>
      </c>
      <c r="AU253" s="83">
        <f t="shared" si="420"/>
        <v>0</v>
      </c>
      <c r="AV253" s="83">
        <f t="shared" si="420"/>
        <v>0</v>
      </c>
      <c r="AW253" s="83"/>
      <c r="AX253" s="83"/>
      <c r="AY253" s="83">
        <f t="shared" si="420"/>
        <v>0</v>
      </c>
      <c r="AZ253" s="83">
        <f t="shared" si="420"/>
        <v>0</v>
      </c>
      <c r="BA253" s="83">
        <f t="shared" si="420"/>
        <v>0</v>
      </c>
      <c r="BB253" s="83">
        <f t="shared" si="420"/>
        <v>0</v>
      </c>
      <c r="BC253" s="83">
        <f t="shared" si="420"/>
        <v>0</v>
      </c>
      <c r="BD253" s="83">
        <f t="shared" si="420"/>
        <v>0</v>
      </c>
      <c r="BE253" s="83">
        <f t="shared" si="420"/>
        <v>0</v>
      </c>
      <c r="BF253" s="83">
        <f t="shared" ref="BF253:BL253" si="425">BF244+BF250</f>
        <v>0</v>
      </c>
      <c r="BG253" s="83">
        <f t="shared" si="425"/>
        <v>0</v>
      </c>
      <c r="BH253" s="83">
        <f t="shared" si="425"/>
        <v>316.58333333333331</v>
      </c>
      <c r="BI253" s="83">
        <f t="shared" si="425"/>
        <v>0</v>
      </c>
      <c r="BJ253" s="83">
        <f t="shared" si="425"/>
        <v>0</v>
      </c>
      <c r="BK253" s="83">
        <f t="shared" si="425"/>
        <v>0</v>
      </c>
      <c r="BL253" s="83">
        <f t="shared" si="425"/>
        <v>0</v>
      </c>
      <c r="BM253" s="83">
        <f>SUM(G253:BL253)</f>
        <v>18805.05</v>
      </c>
      <c r="BS253" s="83"/>
    </row>
    <row r="254" spans="1:71" hidden="1">
      <c r="A254" t="s">
        <v>184</v>
      </c>
      <c r="E254" s="83"/>
      <c r="F254" s="83"/>
      <c r="G254" s="83">
        <f>G245+G251</f>
        <v>7076.9875998915231</v>
      </c>
      <c r="H254" s="83">
        <f t="shared" ref="H254:BE254" si="426">H245+H251</f>
        <v>3828.0432361715721</v>
      </c>
      <c r="I254" s="83">
        <f t="shared" si="426"/>
        <v>955.97125021506395</v>
      </c>
      <c r="J254" s="83">
        <f t="shared" si="426"/>
        <v>1496.7297835250597</v>
      </c>
      <c r="K254" s="83">
        <f t="shared" si="426"/>
        <v>450.66343489815125</v>
      </c>
      <c r="L254" s="83">
        <f t="shared" si="426"/>
        <v>963.13657094925236</v>
      </c>
      <c r="M254" s="83">
        <f t="shared" si="426"/>
        <v>2013.2201977582795</v>
      </c>
      <c r="N254" s="83">
        <f t="shared" si="426"/>
        <v>4055.9239283736288</v>
      </c>
      <c r="O254" s="83">
        <f t="shared" si="426"/>
        <v>1769.1059428436836</v>
      </c>
      <c r="P254" s="83">
        <f t="shared" si="426"/>
        <v>506.48245806022226</v>
      </c>
      <c r="Q254" s="83">
        <f t="shared" si="426"/>
        <v>950.89679356396653</v>
      </c>
      <c r="R254" s="83">
        <f t="shared" si="426"/>
        <v>2282.2603716859039</v>
      </c>
      <c r="S254" s="83">
        <f t="shared" si="426"/>
        <v>246.46354040121486</v>
      </c>
      <c r="T254" s="83">
        <f t="shared" si="426"/>
        <v>22.647112091008594</v>
      </c>
      <c r="U254" s="83">
        <f t="shared" si="426"/>
        <v>551.37730370951408</v>
      </c>
      <c r="V254" s="83">
        <f t="shared" si="426"/>
        <v>0</v>
      </c>
      <c r="W254" s="83">
        <f t="shared" si="426"/>
        <v>0</v>
      </c>
      <c r="X254" s="83">
        <f t="shared" si="426"/>
        <v>1649.6212829942338</v>
      </c>
      <c r="Y254" s="83">
        <f t="shared" si="426"/>
        <v>0</v>
      </c>
      <c r="Z254" s="83">
        <f t="shared" si="426"/>
        <v>0</v>
      </c>
      <c r="AA254" s="83">
        <f t="shared" si="426"/>
        <v>0</v>
      </c>
      <c r="AB254" s="83">
        <f t="shared" si="426"/>
        <v>3370.1440019746333</v>
      </c>
      <c r="AC254" s="83"/>
      <c r="AD254" s="83"/>
      <c r="AE254" s="83">
        <f t="shared" ref="AE254" si="427">AE245+AE251</f>
        <v>0</v>
      </c>
      <c r="AF254" s="83">
        <f t="shared" si="426"/>
        <v>0</v>
      </c>
      <c r="AG254" s="83">
        <f t="shared" ref="AG254:AH254" si="428">AG245+AG251</f>
        <v>2994.6811955031612</v>
      </c>
      <c r="AH254" s="83">
        <f t="shared" si="428"/>
        <v>1336.0856419500421</v>
      </c>
      <c r="AI254" s="83">
        <f t="shared" ref="AI254" si="429">AI245+AI251</f>
        <v>30.047361373858909</v>
      </c>
      <c r="AJ254" s="83">
        <f t="shared" ref="AJ254:AO254" si="430">AJ245+AJ251</f>
        <v>0</v>
      </c>
      <c r="AK254" s="83">
        <f t="shared" si="430"/>
        <v>0</v>
      </c>
      <c r="AL254" s="83">
        <f t="shared" si="430"/>
        <v>0</v>
      </c>
      <c r="AM254" s="83">
        <f t="shared" si="430"/>
        <v>0</v>
      </c>
      <c r="AN254" s="83">
        <f t="shared" si="430"/>
        <v>0</v>
      </c>
      <c r="AO254" s="83">
        <f t="shared" si="430"/>
        <v>0</v>
      </c>
      <c r="AP254" s="83">
        <f t="shared" si="426"/>
        <v>370.95217833716356</v>
      </c>
      <c r="AQ254" s="83">
        <f t="shared" si="426"/>
        <v>366.60600018691815</v>
      </c>
      <c r="AR254" s="83">
        <f t="shared" si="426"/>
        <v>952.54129340459997</v>
      </c>
      <c r="AS254" s="83">
        <f t="shared" si="426"/>
        <v>0</v>
      </c>
      <c r="AT254" s="83">
        <f t="shared" si="426"/>
        <v>0</v>
      </c>
      <c r="AU254" s="83">
        <f t="shared" si="426"/>
        <v>0</v>
      </c>
      <c r="AV254" s="83">
        <f t="shared" si="426"/>
        <v>0</v>
      </c>
      <c r="AW254" s="83"/>
      <c r="AX254" s="83"/>
      <c r="AY254" s="83">
        <f t="shared" si="426"/>
        <v>799.36787967703151</v>
      </c>
      <c r="AZ254" s="83">
        <f t="shared" si="426"/>
        <v>0</v>
      </c>
      <c r="BA254" s="83">
        <f t="shared" si="426"/>
        <v>0</v>
      </c>
      <c r="BB254" s="83">
        <f t="shared" si="426"/>
        <v>2461.5578400246777</v>
      </c>
      <c r="BC254" s="83">
        <f t="shared" si="426"/>
        <v>0</v>
      </c>
      <c r="BD254" s="83">
        <f t="shared" si="426"/>
        <v>0</v>
      </c>
      <c r="BE254" s="83">
        <f t="shared" si="426"/>
        <v>205.0691301269855</v>
      </c>
      <c r="BF254" s="83">
        <f t="shared" ref="BF254:BL254" si="431">BF245+BF251</f>
        <v>205.0691301269855</v>
      </c>
      <c r="BG254" s="83">
        <f t="shared" si="431"/>
        <v>223.04116409962197</v>
      </c>
      <c r="BH254" s="83">
        <f t="shared" si="431"/>
        <v>438.1652361093374</v>
      </c>
      <c r="BI254" s="83">
        <f t="shared" si="431"/>
        <v>914.24793997270785</v>
      </c>
      <c r="BJ254" s="83">
        <f t="shared" si="431"/>
        <v>0</v>
      </c>
      <c r="BK254" s="83">
        <f t="shared" si="431"/>
        <v>0</v>
      </c>
      <c r="BL254" s="83">
        <f t="shared" si="431"/>
        <v>0</v>
      </c>
      <c r="BM254" s="83">
        <f>SUM(G254:BL254)</f>
        <v>43487.106800000001</v>
      </c>
      <c r="BS254" s="83"/>
    </row>
    <row r="255" spans="1:71" hidden="1">
      <c r="BM255" s="83"/>
      <c r="BS255" s="83"/>
    </row>
    <row r="256" spans="1:71" hidden="1">
      <c r="A256" t="s">
        <v>199</v>
      </c>
      <c r="E256" s="83"/>
      <c r="F256" s="83"/>
      <c r="G256" s="83">
        <v>1344.665</v>
      </c>
      <c r="H256" s="83">
        <v>455.77500000000003</v>
      </c>
      <c r="I256" s="83">
        <v>169.95000000000002</v>
      </c>
      <c r="J256" s="83">
        <v>169.95000000000002</v>
      </c>
      <c r="K256" s="83">
        <v>169.95000000000002</v>
      </c>
      <c r="L256" s="83">
        <v>285.82499999999999</v>
      </c>
      <c r="M256" s="83">
        <v>0</v>
      </c>
      <c r="N256" s="83">
        <v>323.42</v>
      </c>
      <c r="O256" s="83">
        <v>169.95000000000002</v>
      </c>
      <c r="P256" s="83">
        <v>646.32500000000005</v>
      </c>
      <c r="Q256" s="83">
        <v>0</v>
      </c>
      <c r="R256" s="83">
        <v>691.97460000000012</v>
      </c>
      <c r="S256" s="83">
        <v>0</v>
      </c>
      <c r="T256" s="83">
        <v>0</v>
      </c>
      <c r="U256" s="83">
        <v>153.47</v>
      </c>
      <c r="V256" s="83">
        <v>0</v>
      </c>
      <c r="W256" s="83">
        <v>0</v>
      </c>
      <c r="X256" s="83">
        <v>0</v>
      </c>
      <c r="Y256" s="83">
        <v>0</v>
      </c>
      <c r="Z256" s="83">
        <v>0</v>
      </c>
      <c r="AA256" s="83">
        <v>0</v>
      </c>
      <c r="AB256" s="83">
        <v>0</v>
      </c>
      <c r="AC256" s="83"/>
      <c r="AD256" s="83"/>
      <c r="AE256" s="83">
        <v>0</v>
      </c>
      <c r="AF256" s="83">
        <v>0</v>
      </c>
      <c r="AG256" s="83">
        <v>4700.92</v>
      </c>
      <c r="AH256" s="83">
        <v>0</v>
      </c>
      <c r="AI256" s="83">
        <v>0</v>
      </c>
      <c r="AJ256" s="83">
        <v>0</v>
      </c>
      <c r="AK256" s="83">
        <v>0</v>
      </c>
      <c r="AL256" s="83">
        <v>0</v>
      </c>
      <c r="AM256" s="83">
        <v>0</v>
      </c>
      <c r="AN256" s="83">
        <v>0</v>
      </c>
      <c r="AO256" s="83">
        <v>0</v>
      </c>
      <c r="AP256" s="83">
        <v>0</v>
      </c>
      <c r="AQ256" s="83">
        <v>0</v>
      </c>
      <c r="AR256" s="83">
        <v>0</v>
      </c>
      <c r="AS256" s="83">
        <v>0</v>
      </c>
      <c r="AT256" s="83">
        <v>0</v>
      </c>
      <c r="AU256" s="83">
        <v>0</v>
      </c>
      <c r="AV256" s="83">
        <v>0</v>
      </c>
      <c r="AW256" s="83"/>
      <c r="AX256" s="83"/>
      <c r="AY256" s="83">
        <v>0</v>
      </c>
      <c r="AZ256" s="83">
        <v>0</v>
      </c>
      <c r="BA256" s="83">
        <v>0</v>
      </c>
      <c r="BB256" s="83">
        <v>0</v>
      </c>
      <c r="BC256" s="83">
        <v>0</v>
      </c>
      <c r="BD256" s="83">
        <v>0</v>
      </c>
      <c r="BE256" s="83">
        <v>0</v>
      </c>
      <c r="BF256" s="83">
        <v>0</v>
      </c>
      <c r="BG256" s="83">
        <v>0</v>
      </c>
      <c r="BH256" s="83">
        <v>0</v>
      </c>
      <c r="BI256" s="83">
        <v>0</v>
      </c>
      <c r="BJ256" s="83">
        <v>0</v>
      </c>
      <c r="BK256" s="83">
        <v>0</v>
      </c>
      <c r="BL256" s="83">
        <v>0</v>
      </c>
      <c r="BM256" s="83">
        <f>SUM(G256:BL256)</f>
        <v>9282.1746000000003</v>
      </c>
      <c r="BN256" s="83">
        <v>642.5</v>
      </c>
      <c r="BO256" s="83">
        <f>SUM(BM256:BN256)</f>
        <v>9924.6746000000003</v>
      </c>
      <c r="BS256" s="83"/>
    </row>
    <row r="257" spans="1:82" hidden="1">
      <c r="A257" t="s">
        <v>199</v>
      </c>
      <c r="E257" s="77"/>
      <c r="F257" s="77"/>
      <c r="G257" s="77">
        <f t="shared" ref="G257:AB257" si="432">G256/$BM$256</f>
        <v>0.14486529912936566</v>
      </c>
      <c r="H257" s="77">
        <f t="shared" si="432"/>
        <v>4.910217913806534E-2</v>
      </c>
      <c r="I257" s="77">
        <f t="shared" si="432"/>
        <v>1.8309287136227755E-2</v>
      </c>
      <c r="J257" s="77">
        <f t="shared" si="432"/>
        <v>1.8309287136227755E-2</v>
      </c>
      <c r="K257" s="77">
        <f t="shared" si="432"/>
        <v>1.8309287136227755E-2</v>
      </c>
      <c r="L257" s="77">
        <f t="shared" si="432"/>
        <v>3.0792892001837584E-2</v>
      </c>
      <c r="M257" s="77">
        <f t="shared" si="432"/>
        <v>0</v>
      </c>
      <c r="N257" s="77">
        <f t="shared" si="432"/>
        <v>3.4843128247124336E-2</v>
      </c>
      <c r="O257" s="77">
        <f t="shared" si="432"/>
        <v>1.8309287136227755E-2</v>
      </c>
      <c r="P257" s="77">
        <f t="shared" si="432"/>
        <v>6.9630773805957072E-2</v>
      </c>
      <c r="Q257" s="77">
        <f t="shared" si="432"/>
        <v>0</v>
      </c>
      <c r="R257" s="77">
        <f t="shared" si="432"/>
        <v>7.4548759296124437E-2</v>
      </c>
      <c r="S257" s="77">
        <f t="shared" si="432"/>
        <v>0</v>
      </c>
      <c r="T257" s="77">
        <f t="shared" si="432"/>
        <v>0</v>
      </c>
      <c r="U257" s="77">
        <f t="shared" si="432"/>
        <v>1.6533841110896577E-2</v>
      </c>
      <c r="V257" s="77">
        <f t="shared" si="432"/>
        <v>0</v>
      </c>
      <c r="W257" s="77">
        <f t="shared" si="432"/>
        <v>0</v>
      </c>
      <c r="X257" s="77">
        <f t="shared" si="432"/>
        <v>0</v>
      </c>
      <c r="Y257" s="77">
        <f t="shared" si="432"/>
        <v>0</v>
      </c>
      <c r="Z257" s="77">
        <f t="shared" si="432"/>
        <v>0</v>
      </c>
      <c r="AA257" s="77">
        <f t="shared" si="432"/>
        <v>0</v>
      </c>
      <c r="AB257" s="77">
        <f t="shared" si="432"/>
        <v>0</v>
      </c>
      <c r="AC257" s="77"/>
      <c r="AD257" s="77"/>
      <c r="AE257" s="77">
        <f t="shared" ref="AE257:AV257" si="433">AE256/$BM$256</f>
        <v>0</v>
      </c>
      <c r="AF257" s="77">
        <f t="shared" si="433"/>
        <v>0</v>
      </c>
      <c r="AG257" s="77">
        <f t="shared" si="433"/>
        <v>0.50644597872571795</v>
      </c>
      <c r="AH257" s="77">
        <f t="shared" si="433"/>
        <v>0</v>
      </c>
      <c r="AI257" s="77">
        <f t="shared" si="433"/>
        <v>0</v>
      </c>
      <c r="AJ257" s="77">
        <f t="shared" si="433"/>
        <v>0</v>
      </c>
      <c r="AK257" s="77">
        <f t="shared" si="433"/>
        <v>0</v>
      </c>
      <c r="AL257" s="77">
        <f t="shared" si="433"/>
        <v>0</v>
      </c>
      <c r="AM257" s="77">
        <f t="shared" si="433"/>
        <v>0</v>
      </c>
      <c r="AN257" s="77">
        <f t="shared" si="433"/>
        <v>0</v>
      </c>
      <c r="AO257" s="77">
        <f t="shared" si="433"/>
        <v>0</v>
      </c>
      <c r="AP257" s="77">
        <f t="shared" si="433"/>
        <v>0</v>
      </c>
      <c r="AQ257" s="77">
        <f t="shared" si="433"/>
        <v>0</v>
      </c>
      <c r="AR257" s="77">
        <f t="shared" si="433"/>
        <v>0</v>
      </c>
      <c r="AS257" s="77">
        <f t="shared" si="433"/>
        <v>0</v>
      </c>
      <c r="AT257" s="77">
        <f t="shared" si="433"/>
        <v>0</v>
      </c>
      <c r="AU257" s="77">
        <f t="shared" si="433"/>
        <v>0</v>
      </c>
      <c r="AV257" s="77">
        <f t="shared" si="433"/>
        <v>0</v>
      </c>
      <c r="AW257" s="77"/>
      <c r="AX257" s="77"/>
      <c r="AY257" s="77">
        <f t="shared" ref="AY257:BL257" si="434">AY256/$BM$256</f>
        <v>0</v>
      </c>
      <c r="AZ257" s="77">
        <f t="shared" si="434"/>
        <v>0</v>
      </c>
      <c r="BA257" s="77">
        <f t="shared" si="434"/>
        <v>0</v>
      </c>
      <c r="BB257" s="77">
        <f t="shared" si="434"/>
        <v>0</v>
      </c>
      <c r="BC257" s="77">
        <f t="shared" si="434"/>
        <v>0</v>
      </c>
      <c r="BD257" s="77">
        <f t="shared" si="434"/>
        <v>0</v>
      </c>
      <c r="BE257" s="77">
        <f t="shared" si="434"/>
        <v>0</v>
      </c>
      <c r="BF257" s="77">
        <f t="shared" si="434"/>
        <v>0</v>
      </c>
      <c r="BG257" s="77">
        <f t="shared" si="434"/>
        <v>0</v>
      </c>
      <c r="BH257" s="77">
        <f t="shared" si="434"/>
        <v>0</v>
      </c>
      <c r="BI257" s="77">
        <f t="shared" si="434"/>
        <v>0</v>
      </c>
      <c r="BJ257" s="77">
        <f t="shared" si="434"/>
        <v>0</v>
      </c>
      <c r="BK257" s="77">
        <f t="shared" si="434"/>
        <v>0</v>
      </c>
      <c r="BL257" s="77">
        <f t="shared" si="434"/>
        <v>0</v>
      </c>
      <c r="BM257" s="77">
        <f>SUM(G257:BL257)</f>
        <v>1</v>
      </c>
      <c r="BS257" s="77"/>
    </row>
    <row r="258" spans="1:82" hidden="1">
      <c r="A258" t="s">
        <v>199</v>
      </c>
      <c r="E258" s="83"/>
      <c r="F258" s="83"/>
      <c r="G258" s="83">
        <f t="shared" ref="G258:AB258" si="435">$BN$256*G257</f>
        <v>93.075954690617436</v>
      </c>
      <c r="H258" s="83">
        <f t="shared" si="435"/>
        <v>31.548150096206982</v>
      </c>
      <c r="I258" s="83">
        <f t="shared" si="435"/>
        <v>11.763716985026333</v>
      </c>
      <c r="J258" s="83">
        <f t="shared" si="435"/>
        <v>11.763716985026333</v>
      </c>
      <c r="K258" s="83">
        <f t="shared" si="435"/>
        <v>11.763716985026333</v>
      </c>
      <c r="L258" s="83">
        <f t="shared" si="435"/>
        <v>19.784433111180647</v>
      </c>
      <c r="M258" s="83">
        <f t="shared" si="435"/>
        <v>0</v>
      </c>
      <c r="N258" s="83">
        <f t="shared" si="435"/>
        <v>22.386709898777386</v>
      </c>
      <c r="O258" s="83">
        <f t="shared" si="435"/>
        <v>11.763716985026333</v>
      </c>
      <c r="P258" s="83">
        <f t="shared" si="435"/>
        <v>44.737772170327418</v>
      </c>
      <c r="Q258" s="83">
        <f t="shared" si="435"/>
        <v>0</v>
      </c>
      <c r="R258" s="83">
        <f t="shared" si="435"/>
        <v>47.897577847759948</v>
      </c>
      <c r="S258" s="83">
        <f t="shared" si="435"/>
        <v>0</v>
      </c>
      <c r="T258" s="83">
        <f t="shared" si="435"/>
        <v>0</v>
      </c>
      <c r="U258" s="83">
        <f t="shared" si="435"/>
        <v>10.622992913751052</v>
      </c>
      <c r="V258" s="83">
        <f t="shared" si="435"/>
        <v>0</v>
      </c>
      <c r="W258" s="83">
        <f t="shared" si="435"/>
        <v>0</v>
      </c>
      <c r="X258" s="83">
        <f t="shared" si="435"/>
        <v>0</v>
      </c>
      <c r="Y258" s="83">
        <f t="shared" si="435"/>
        <v>0</v>
      </c>
      <c r="Z258" s="83">
        <f t="shared" si="435"/>
        <v>0</v>
      </c>
      <c r="AA258" s="83">
        <f t="shared" si="435"/>
        <v>0</v>
      </c>
      <c r="AB258" s="83">
        <f t="shared" si="435"/>
        <v>0</v>
      </c>
      <c r="AC258" s="83"/>
      <c r="AD258" s="83"/>
      <c r="AE258" s="83">
        <f t="shared" ref="AE258:AV258" si="436">$BN$256*AE257</f>
        <v>0</v>
      </c>
      <c r="AF258" s="83">
        <f t="shared" si="436"/>
        <v>0</v>
      </c>
      <c r="AG258" s="83">
        <f t="shared" si="436"/>
        <v>325.3915413312738</v>
      </c>
      <c r="AH258" s="83">
        <f t="shared" si="436"/>
        <v>0</v>
      </c>
      <c r="AI258" s="83">
        <f t="shared" si="436"/>
        <v>0</v>
      </c>
      <c r="AJ258" s="83">
        <f t="shared" si="436"/>
        <v>0</v>
      </c>
      <c r="AK258" s="83">
        <f t="shared" si="436"/>
        <v>0</v>
      </c>
      <c r="AL258" s="83">
        <f t="shared" si="436"/>
        <v>0</v>
      </c>
      <c r="AM258" s="83">
        <f t="shared" si="436"/>
        <v>0</v>
      </c>
      <c r="AN258" s="83">
        <f t="shared" si="436"/>
        <v>0</v>
      </c>
      <c r="AO258" s="83">
        <f t="shared" si="436"/>
        <v>0</v>
      </c>
      <c r="AP258" s="83">
        <f t="shared" si="436"/>
        <v>0</v>
      </c>
      <c r="AQ258" s="83">
        <f t="shared" si="436"/>
        <v>0</v>
      </c>
      <c r="AR258" s="83">
        <f t="shared" si="436"/>
        <v>0</v>
      </c>
      <c r="AS258" s="83">
        <f t="shared" si="436"/>
        <v>0</v>
      </c>
      <c r="AT258" s="83">
        <f t="shared" si="436"/>
        <v>0</v>
      </c>
      <c r="AU258" s="83">
        <f t="shared" si="436"/>
        <v>0</v>
      </c>
      <c r="AV258" s="83">
        <f t="shared" si="436"/>
        <v>0</v>
      </c>
      <c r="AW258" s="83"/>
      <c r="AX258" s="83"/>
      <c r="AY258" s="83">
        <f t="shared" ref="AY258:BL258" si="437">$BN$256*AY257</f>
        <v>0</v>
      </c>
      <c r="AZ258" s="83">
        <f t="shared" si="437"/>
        <v>0</v>
      </c>
      <c r="BA258" s="83">
        <f t="shared" si="437"/>
        <v>0</v>
      </c>
      <c r="BB258" s="83">
        <f t="shared" si="437"/>
        <v>0</v>
      </c>
      <c r="BC258" s="83">
        <f t="shared" si="437"/>
        <v>0</v>
      </c>
      <c r="BD258" s="83">
        <f t="shared" si="437"/>
        <v>0</v>
      </c>
      <c r="BE258" s="83">
        <f t="shared" si="437"/>
        <v>0</v>
      </c>
      <c r="BF258" s="83">
        <f t="shared" si="437"/>
        <v>0</v>
      </c>
      <c r="BG258" s="83">
        <f t="shared" si="437"/>
        <v>0</v>
      </c>
      <c r="BH258" s="83">
        <f t="shared" si="437"/>
        <v>0</v>
      </c>
      <c r="BI258" s="83">
        <f t="shared" si="437"/>
        <v>0</v>
      </c>
      <c r="BJ258" s="83">
        <f t="shared" si="437"/>
        <v>0</v>
      </c>
      <c r="BK258" s="83">
        <f t="shared" si="437"/>
        <v>0</v>
      </c>
      <c r="BL258" s="83">
        <f t="shared" si="437"/>
        <v>0</v>
      </c>
      <c r="BM258" s="83">
        <f>SUM(G258:BL258)</f>
        <v>642.5</v>
      </c>
      <c r="BS258" s="83"/>
    </row>
    <row r="259" spans="1:82" hidden="1">
      <c r="A259" t="s">
        <v>199</v>
      </c>
      <c r="E259" s="83"/>
      <c r="F259" s="83"/>
      <c r="G259" s="83">
        <f>G256+G258</f>
        <v>1437.7409546906174</v>
      </c>
      <c r="H259" s="83">
        <f t="shared" ref="H259:BE259" si="438">H256+H258</f>
        <v>487.32315009620703</v>
      </c>
      <c r="I259" s="83">
        <f t="shared" si="438"/>
        <v>181.71371698502634</v>
      </c>
      <c r="J259" s="83">
        <f t="shared" si="438"/>
        <v>181.71371698502634</v>
      </c>
      <c r="K259" s="83">
        <f t="shared" si="438"/>
        <v>181.71371698502634</v>
      </c>
      <c r="L259" s="83">
        <f t="shared" si="438"/>
        <v>305.60943311118064</v>
      </c>
      <c r="M259" s="83">
        <f t="shared" si="438"/>
        <v>0</v>
      </c>
      <c r="N259" s="83">
        <f t="shared" si="438"/>
        <v>345.8067098987774</v>
      </c>
      <c r="O259" s="83">
        <f t="shared" si="438"/>
        <v>181.71371698502634</v>
      </c>
      <c r="P259" s="83">
        <f t="shared" si="438"/>
        <v>691.06277217032743</v>
      </c>
      <c r="Q259" s="83">
        <f t="shared" si="438"/>
        <v>0</v>
      </c>
      <c r="R259" s="83">
        <f t="shared" si="438"/>
        <v>739.8721778477601</v>
      </c>
      <c r="S259" s="83">
        <f t="shared" si="438"/>
        <v>0</v>
      </c>
      <c r="T259" s="83">
        <f t="shared" si="438"/>
        <v>0</v>
      </c>
      <c r="U259" s="83">
        <f t="shared" si="438"/>
        <v>164.09299291375106</v>
      </c>
      <c r="V259" s="83">
        <f t="shared" si="438"/>
        <v>0</v>
      </c>
      <c r="W259" s="83">
        <f t="shared" si="438"/>
        <v>0</v>
      </c>
      <c r="X259" s="83">
        <f t="shared" si="438"/>
        <v>0</v>
      </c>
      <c r="Y259" s="83">
        <f t="shared" si="438"/>
        <v>0</v>
      </c>
      <c r="Z259" s="83">
        <f t="shared" si="438"/>
        <v>0</v>
      </c>
      <c r="AA259" s="83">
        <f t="shared" si="438"/>
        <v>0</v>
      </c>
      <c r="AB259" s="83">
        <f t="shared" si="438"/>
        <v>0</v>
      </c>
      <c r="AC259" s="83"/>
      <c r="AD259" s="83"/>
      <c r="AE259" s="83">
        <f t="shared" ref="AE259" si="439">AE256+AE258</f>
        <v>0</v>
      </c>
      <c r="AF259" s="83">
        <f t="shared" si="438"/>
        <v>0</v>
      </c>
      <c r="AG259" s="83">
        <f t="shared" ref="AG259:AH259" si="440">AG256+AG258</f>
        <v>5026.3115413312735</v>
      </c>
      <c r="AH259" s="83">
        <f t="shared" si="440"/>
        <v>0</v>
      </c>
      <c r="AI259" s="83">
        <f t="shared" ref="AI259" si="441">AI256+AI258</f>
        <v>0</v>
      </c>
      <c r="AJ259" s="83">
        <f t="shared" ref="AJ259:AO259" si="442">AJ256+AJ258</f>
        <v>0</v>
      </c>
      <c r="AK259" s="83">
        <f t="shared" si="442"/>
        <v>0</v>
      </c>
      <c r="AL259" s="83">
        <f t="shared" si="442"/>
        <v>0</v>
      </c>
      <c r="AM259" s="83">
        <f t="shared" si="442"/>
        <v>0</v>
      </c>
      <c r="AN259" s="83">
        <f t="shared" si="442"/>
        <v>0</v>
      </c>
      <c r="AO259" s="83">
        <f t="shared" si="442"/>
        <v>0</v>
      </c>
      <c r="AP259" s="83">
        <f t="shared" si="438"/>
        <v>0</v>
      </c>
      <c r="AQ259" s="83">
        <f t="shared" si="438"/>
        <v>0</v>
      </c>
      <c r="AR259" s="83">
        <f t="shared" si="438"/>
        <v>0</v>
      </c>
      <c r="AS259" s="83">
        <f t="shared" si="438"/>
        <v>0</v>
      </c>
      <c r="AT259" s="83">
        <f t="shared" si="438"/>
        <v>0</v>
      </c>
      <c r="AU259" s="83">
        <f t="shared" si="438"/>
        <v>0</v>
      </c>
      <c r="AV259" s="83">
        <f t="shared" si="438"/>
        <v>0</v>
      </c>
      <c r="AW259" s="83"/>
      <c r="AX259" s="83"/>
      <c r="AY259" s="83">
        <f t="shared" si="438"/>
        <v>0</v>
      </c>
      <c r="AZ259" s="83">
        <f t="shared" si="438"/>
        <v>0</v>
      </c>
      <c r="BA259" s="83">
        <f t="shared" si="438"/>
        <v>0</v>
      </c>
      <c r="BB259" s="83">
        <f t="shared" si="438"/>
        <v>0</v>
      </c>
      <c r="BC259" s="83">
        <f t="shared" si="438"/>
        <v>0</v>
      </c>
      <c r="BD259" s="83">
        <f t="shared" si="438"/>
        <v>0</v>
      </c>
      <c r="BE259" s="83">
        <f t="shared" si="438"/>
        <v>0</v>
      </c>
      <c r="BF259" s="83">
        <f t="shared" ref="BF259:BL259" si="443">BF256+BF258</f>
        <v>0</v>
      </c>
      <c r="BG259" s="83">
        <f t="shared" si="443"/>
        <v>0</v>
      </c>
      <c r="BH259" s="83">
        <f t="shared" si="443"/>
        <v>0</v>
      </c>
      <c r="BI259" s="83">
        <f t="shared" si="443"/>
        <v>0</v>
      </c>
      <c r="BJ259" s="83">
        <f t="shared" si="443"/>
        <v>0</v>
      </c>
      <c r="BK259" s="83">
        <f t="shared" si="443"/>
        <v>0</v>
      </c>
      <c r="BL259" s="83">
        <f t="shared" si="443"/>
        <v>0</v>
      </c>
      <c r="BM259" s="83">
        <f>SUM(G259:BL259)</f>
        <v>9924.6745999999985</v>
      </c>
      <c r="BS259" s="83"/>
    </row>
    <row r="260" spans="1:82" hidden="1">
      <c r="BM260" s="83"/>
      <c r="BS260" s="83"/>
    </row>
    <row r="261" spans="1:82" hidden="1">
      <c r="A261" t="s">
        <v>203</v>
      </c>
      <c r="E261" s="83"/>
      <c r="F261" s="83"/>
      <c r="G261" s="83">
        <v>0</v>
      </c>
      <c r="H261" s="83">
        <v>0</v>
      </c>
      <c r="I261" s="83">
        <v>0</v>
      </c>
      <c r="J261" s="83">
        <v>0</v>
      </c>
      <c r="K261" s="83">
        <v>0</v>
      </c>
      <c r="L261" s="83">
        <v>0</v>
      </c>
      <c r="M261" s="83">
        <v>0</v>
      </c>
      <c r="N261" s="83">
        <v>0</v>
      </c>
      <c r="O261" s="83">
        <v>0</v>
      </c>
      <c r="P261" s="83">
        <v>0</v>
      </c>
      <c r="Q261" s="83">
        <v>0</v>
      </c>
      <c r="R261" s="83">
        <v>0</v>
      </c>
      <c r="S261" s="83">
        <v>0</v>
      </c>
      <c r="T261" s="83">
        <v>0</v>
      </c>
      <c r="U261" s="83">
        <v>0</v>
      </c>
      <c r="V261" s="83">
        <v>0</v>
      </c>
      <c r="W261" s="83">
        <v>0</v>
      </c>
      <c r="X261" s="83">
        <v>0</v>
      </c>
      <c r="Y261" s="83">
        <v>0</v>
      </c>
      <c r="Z261" s="83">
        <v>0</v>
      </c>
      <c r="AA261" s="83">
        <v>0</v>
      </c>
      <c r="AB261" s="83">
        <v>0</v>
      </c>
      <c r="AC261" s="83"/>
      <c r="AD261" s="83"/>
      <c r="AE261" s="83">
        <v>0</v>
      </c>
      <c r="AF261" s="83">
        <v>0</v>
      </c>
      <c r="AG261" s="83">
        <v>0</v>
      </c>
      <c r="AH261" s="83">
        <v>0</v>
      </c>
      <c r="AI261" s="83">
        <v>0</v>
      </c>
      <c r="AJ261" s="83">
        <v>0</v>
      </c>
      <c r="AK261" s="83">
        <v>0</v>
      </c>
      <c r="AL261" s="83">
        <v>0</v>
      </c>
      <c r="AM261" s="83">
        <v>0</v>
      </c>
      <c r="AN261" s="83">
        <v>0</v>
      </c>
      <c r="AO261" s="83">
        <v>8312.4502000000011</v>
      </c>
      <c r="AP261" s="83">
        <v>22529.499</v>
      </c>
      <c r="AQ261" s="83">
        <v>0</v>
      </c>
      <c r="AR261" s="83">
        <v>0</v>
      </c>
      <c r="AS261" s="83">
        <v>0</v>
      </c>
      <c r="AT261" s="83">
        <v>0</v>
      </c>
      <c r="AU261" s="83">
        <v>0</v>
      </c>
      <c r="AV261" s="83">
        <v>14606.162200000001</v>
      </c>
      <c r="AW261" s="83"/>
      <c r="AX261" s="83"/>
      <c r="AY261" s="83">
        <v>0</v>
      </c>
      <c r="AZ261" s="83">
        <v>0</v>
      </c>
      <c r="BA261" s="83">
        <v>0</v>
      </c>
      <c r="BB261" s="83">
        <v>0</v>
      </c>
      <c r="BC261" s="83">
        <v>0</v>
      </c>
      <c r="BD261" s="83">
        <v>0</v>
      </c>
      <c r="BE261" s="83">
        <v>0</v>
      </c>
      <c r="BF261" s="83">
        <v>0</v>
      </c>
      <c r="BG261" s="83">
        <v>0</v>
      </c>
      <c r="BH261" s="83">
        <v>0</v>
      </c>
      <c r="BI261" s="83">
        <v>0</v>
      </c>
      <c r="BJ261" s="83">
        <v>0</v>
      </c>
      <c r="BK261" s="83">
        <v>0</v>
      </c>
      <c r="BL261" s="83">
        <v>0</v>
      </c>
      <c r="BM261" s="83">
        <f>SUM(G261:BL261)</f>
        <v>45448.111400000002</v>
      </c>
      <c r="BN261" s="83">
        <v>200</v>
      </c>
      <c r="BO261" s="83">
        <f>SUM(BM261:BN261)</f>
        <v>45648.111400000002</v>
      </c>
      <c r="BS261" s="83"/>
    </row>
    <row r="262" spans="1:82" hidden="1">
      <c r="A262" t="s">
        <v>203</v>
      </c>
      <c r="E262" s="77"/>
      <c r="F262" s="77"/>
      <c r="G262" s="77">
        <f t="shared" ref="G262:AB262" si="444">G261/$BM$261</f>
        <v>0</v>
      </c>
      <c r="H262" s="77">
        <f t="shared" si="444"/>
        <v>0</v>
      </c>
      <c r="I262" s="77">
        <f t="shared" si="444"/>
        <v>0</v>
      </c>
      <c r="J262" s="77">
        <f t="shared" si="444"/>
        <v>0</v>
      </c>
      <c r="K262" s="77">
        <f t="shared" si="444"/>
        <v>0</v>
      </c>
      <c r="L262" s="77">
        <f t="shared" si="444"/>
        <v>0</v>
      </c>
      <c r="M262" s="77">
        <f t="shared" si="444"/>
        <v>0</v>
      </c>
      <c r="N262" s="77">
        <f t="shared" si="444"/>
        <v>0</v>
      </c>
      <c r="O262" s="77">
        <f t="shared" si="444"/>
        <v>0</v>
      </c>
      <c r="P262" s="77">
        <f t="shared" si="444"/>
        <v>0</v>
      </c>
      <c r="Q262" s="77">
        <f t="shared" si="444"/>
        <v>0</v>
      </c>
      <c r="R262" s="77">
        <f t="shared" si="444"/>
        <v>0</v>
      </c>
      <c r="S262" s="77">
        <f t="shared" si="444"/>
        <v>0</v>
      </c>
      <c r="T262" s="77">
        <f t="shared" si="444"/>
        <v>0</v>
      </c>
      <c r="U262" s="77">
        <f t="shared" si="444"/>
        <v>0</v>
      </c>
      <c r="V262" s="77">
        <f t="shared" si="444"/>
        <v>0</v>
      </c>
      <c r="W262" s="77">
        <f t="shared" si="444"/>
        <v>0</v>
      </c>
      <c r="X262" s="77">
        <f t="shared" si="444"/>
        <v>0</v>
      </c>
      <c r="Y262" s="77">
        <f t="shared" si="444"/>
        <v>0</v>
      </c>
      <c r="Z262" s="77">
        <f t="shared" si="444"/>
        <v>0</v>
      </c>
      <c r="AA262" s="77">
        <f t="shared" si="444"/>
        <v>0</v>
      </c>
      <c r="AB262" s="77">
        <f t="shared" si="444"/>
        <v>0</v>
      </c>
      <c r="AC262" s="77"/>
      <c r="AD262" s="77"/>
      <c r="AE262" s="77">
        <f t="shared" ref="AE262:AV262" si="445">AE261/$BM$261</f>
        <v>0</v>
      </c>
      <c r="AF262" s="77">
        <f t="shared" si="445"/>
        <v>0</v>
      </c>
      <c r="AG262" s="77">
        <f t="shared" si="445"/>
        <v>0</v>
      </c>
      <c r="AH262" s="77">
        <f t="shared" si="445"/>
        <v>0</v>
      </c>
      <c r="AI262" s="77">
        <f t="shared" si="445"/>
        <v>0</v>
      </c>
      <c r="AJ262" s="77">
        <f t="shared" si="445"/>
        <v>0</v>
      </c>
      <c r="AK262" s="77">
        <f t="shared" si="445"/>
        <v>0</v>
      </c>
      <c r="AL262" s="77">
        <f t="shared" si="445"/>
        <v>0</v>
      </c>
      <c r="AM262" s="77">
        <f t="shared" si="445"/>
        <v>0</v>
      </c>
      <c r="AN262" s="77">
        <f t="shared" si="445"/>
        <v>0</v>
      </c>
      <c r="AO262" s="77">
        <f t="shared" si="445"/>
        <v>0.18289979371948117</v>
      </c>
      <c r="AP262" s="77">
        <f t="shared" si="445"/>
        <v>0.49571914664863276</v>
      </c>
      <c r="AQ262" s="77">
        <f t="shared" si="445"/>
        <v>0</v>
      </c>
      <c r="AR262" s="77">
        <f t="shared" si="445"/>
        <v>0</v>
      </c>
      <c r="AS262" s="77">
        <f t="shared" si="445"/>
        <v>0</v>
      </c>
      <c r="AT262" s="77">
        <f t="shared" si="445"/>
        <v>0</v>
      </c>
      <c r="AU262" s="77">
        <f t="shared" si="445"/>
        <v>0</v>
      </c>
      <c r="AV262" s="77">
        <f t="shared" si="445"/>
        <v>0.32138105963188607</v>
      </c>
      <c r="AW262" s="77"/>
      <c r="AX262" s="77"/>
      <c r="AY262" s="77">
        <f t="shared" ref="AY262:BL262" si="446">AY261/$BM$261</f>
        <v>0</v>
      </c>
      <c r="AZ262" s="77">
        <f t="shared" si="446"/>
        <v>0</v>
      </c>
      <c r="BA262" s="77">
        <f t="shared" si="446"/>
        <v>0</v>
      </c>
      <c r="BB262" s="77">
        <f t="shared" si="446"/>
        <v>0</v>
      </c>
      <c r="BC262" s="77">
        <f t="shared" si="446"/>
        <v>0</v>
      </c>
      <c r="BD262" s="77">
        <f t="shared" si="446"/>
        <v>0</v>
      </c>
      <c r="BE262" s="77">
        <f t="shared" si="446"/>
        <v>0</v>
      </c>
      <c r="BF262" s="77">
        <f t="shared" si="446"/>
        <v>0</v>
      </c>
      <c r="BG262" s="77">
        <f t="shared" si="446"/>
        <v>0</v>
      </c>
      <c r="BH262" s="77">
        <f t="shared" si="446"/>
        <v>0</v>
      </c>
      <c r="BI262" s="77">
        <f t="shared" si="446"/>
        <v>0</v>
      </c>
      <c r="BJ262" s="77">
        <f t="shared" si="446"/>
        <v>0</v>
      </c>
      <c r="BK262" s="77">
        <f t="shared" si="446"/>
        <v>0</v>
      </c>
      <c r="BL262" s="77">
        <f t="shared" si="446"/>
        <v>0</v>
      </c>
      <c r="BM262" s="77">
        <f>SUM(G262:BL262)</f>
        <v>1</v>
      </c>
      <c r="BS262" s="77"/>
    </row>
    <row r="263" spans="1:82" hidden="1">
      <c r="A263" t="s">
        <v>203</v>
      </c>
      <c r="E263" s="83"/>
      <c r="F263" s="83"/>
      <c r="G263" s="83">
        <f t="shared" ref="G263:AB263" si="447">$BN$261*G262</f>
        <v>0</v>
      </c>
      <c r="H263" s="83">
        <f t="shared" si="447"/>
        <v>0</v>
      </c>
      <c r="I263" s="83">
        <f t="shared" si="447"/>
        <v>0</v>
      </c>
      <c r="J263" s="83">
        <f t="shared" si="447"/>
        <v>0</v>
      </c>
      <c r="K263" s="83">
        <f t="shared" si="447"/>
        <v>0</v>
      </c>
      <c r="L263" s="83">
        <f t="shared" si="447"/>
        <v>0</v>
      </c>
      <c r="M263" s="83">
        <f t="shared" si="447"/>
        <v>0</v>
      </c>
      <c r="N263" s="83">
        <f t="shared" si="447"/>
        <v>0</v>
      </c>
      <c r="O263" s="83">
        <f t="shared" si="447"/>
        <v>0</v>
      </c>
      <c r="P263" s="83">
        <f t="shared" si="447"/>
        <v>0</v>
      </c>
      <c r="Q263" s="83">
        <f t="shared" si="447"/>
        <v>0</v>
      </c>
      <c r="R263" s="83">
        <f t="shared" si="447"/>
        <v>0</v>
      </c>
      <c r="S263" s="83">
        <f t="shared" si="447"/>
        <v>0</v>
      </c>
      <c r="T263" s="83">
        <f t="shared" si="447"/>
        <v>0</v>
      </c>
      <c r="U263" s="83">
        <f t="shared" si="447"/>
        <v>0</v>
      </c>
      <c r="V263" s="83">
        <f t="shared" si="447"/>
        <v>0</v>
      </c>
      <c r="W263" s="83">
        <f t="shared" si="447"/>
        <v>0</v>
      </c>
      <c r="X263" s="83">
        <f t="shared" si="447"/>
        <v>0</v>
      </c>
      <c r="Y263" s="83">
        <f t="shared" si="447"/>
        <v>0</v>
      </c>
      <c r="Z263" s="83">
        <f t="shared" si="447"/>
        <v>0</v>
      </c>
      <c r="AA263" s="83">
        <f t="shared" si="447"/>
        <v>0</v>
      </c>
      <c r="AB263" s="83">
        <f t="shared" si="447"/>
        <v>0</v>
      </c>
      <c r="AC263" s="83"/>
      <c r="AD263" s="83"/>
      <c r="AE263" s="83">
        <f t="shared" ref="AE263:AV263" si="448">$BN$261*AE262</f>
        <v>0</v>
      </c>
      <c r="AF263" s="83">
        <f t="shared" si="448"/>
        <v>0</v>
      </c>
      <c r="AG263" s="83">
        <f t="shared" si="448"/>
        <v>0</v>
      </c>
      <c r="AH263" s="83">
        <f t="shared" si="448"/>
        <v>0</v>
      </c>
      <c r="AI263" s="83">
        <f t="shared" si="448"/>
        <v>0</v>
      </c>
      <c r="AJ263" s="83">
        <f t="shared" si="448"/>
        <v>0</v>
      </c>
      <c r="AK263" s="83">
        <f t="shared" si="448"/>
        <v>0</v>
      </c>
      <c r="AL263" s="83">
        <f t="shared" si="448"/>
        <v>0</v>
      </c>
      <c r="AM263" s="83">
        <f t="shared" si="448"/>
        <v>0</v>
      </c>
      <c r="AN263" s="83">
        <f t="shared" si="448"/>
        <v>0</v>
      </c>
      <c r="AO263" s="83">
        <f t="shared" si="448"/>
        <v>36.579958743896235</v>
      </c>
      <c r="AP263" s="83">
        <f t="shared" si="448"/>
        <v>99.143829329726557</v>
      </c>
      <c r="AQ263" s="83">
        <f t="shared" si="448"/>
        <v>0</v>
      </c>
      <c r="AR263" s="83">
        <f t="shared" si="448"/>
        <v>0</v>
      </c>
      <c r="AS263" s="83">
        <f t="shared" si="448"/>
        <v>0</v>
      </c>
      <c r="AT263" s="83">
        <f t="shared" si="448"/>
        <v>0</v>
      </c>
      <c r="AU263" s="83">
        <f t="shared" si="448"/>
        <v>0</v>
      </c>
      <c r="AV263" s="83">
        <f t="shared" si="448"/>
        <v>64.276211926377215</v>
      </c>
      <c r="AW263" s="83"/>
      <c r="AX263" s="83"/>
      <c r="AY263" s="83">
        <f t="shared" ref="AY263:BL263" si="449">$BN$261*AY262</f>
        <v>0</v>
      </c>
      <c r="AZ263" s="83">
        <f t="shared" si="449"/>
        <v>0</v>
      </c>
      <c r="BA263" s="83">
        <f t="shared" si="449"/>
        <v>0</v>
      </c>
      <c r="BB263" s="83">
        <f t="shared" si="449"/>
        <v>0</v>
      </c>
      <c r="BC263" s="83">
        <f t="shared" si="449"/>
        <v>0</v>
      </c>
      <c r="BD263" s="83">
        <f t="shared" si="449"/>
        <v>0</v>
      </c>
      <c r="BE263" s="83">
        <f t="shared" si="449"/>
        <v>0</v>
      </c>
      <c r="BF263" s="83">
        <f t="shared" si="449"/>
        <v>0</v>
      </c>
      <c r="BG263" s="83">
        <f t="shared" si="449"/>
        <v>0</v>
      </c>
      <c r="BH263" s="83">
        <f t="shared" si="449"/>
        <v>0</v>
      </c>
      <c r="BI263" s="83">
        <f t="shared" si="449"/>
        <v>0</v>
      </c>
      <c r="BJ263" s="83">
        <f t="shared" si="449"/>
        <v>0</v>
      </c>
      <c r="BK263" s="83">
        <f t="shared" si="449"/>
        <v>0</v>
      </c>
      <c r="BL263" s="83">
        <f t="shared" si="449"/>
        <v>0</v>
      </c>
      <c r="BM263" s="83">
        <f>SUM(G263:BL263)</f>
        <v>200</v>
      </c>
      <c r="BS263" s="83"/>
    </row>
    <row r="264" spans="1:82" hidden="1">
      <c r="A264" t="s">
        <v>203</v>
      </c>
      <c r="E264" s="83"/>
      <c r="F264" s="83"/>
      <c r="G264" s="83">
        <f>G261+G263</f>
        <v>0</v>
      </c>
      <c r="H264" s="83">
        <f t="shared" ref="H264:BE264" si="450">H261+H263</f>
        <v>0</v>
      </c>
      <c r="I264" s="83">
        <f t="shared" si="450"/>
        <v>0</v>
      </c>
      <c r="J264" s="83">
        <f t="shared" si="450"/>
        <v>0</v>
      </c>
      <c r="K264" s="83">
        <f t="shared" si="450"/>
        <v>0</v>
      </c>
      <c r="L264" s="83">
        <f t="shared" si="450"/>
        <v>0</v>
      </c>
      <c r="M264" s="83">
        <f t="shared" si="450"/>
        <v>0</v>
      </c>
      <c r="N264" s="83">
        <f t="shared" si="450"/>
        <v>0</v>
      </c>
      <c r="O264" s="83">
        <f t="shared" si="450"/>
        <v>0</v>
      </c>
      <c r="P264" s="83">
        <f t="shared" si="450"/>
        <v>0</v>
      </c>
      <c r="Q264" s="83">
        <f t="shared" si="450"/>
        <v>0</v>
      </c>
      <c r="R264" s="83">
        <f t="shared" si="450"/>
        <v>0</v>
      </c>
      <c r="S264" s="83">
        <f t="shared" si="450"/>
        <v>0</v>
      </c>
      <c r="T264" s="83">
        <f t="shared" si="450"/>
        <v>0</v>
      </c>
      <c r="U264" s="83">
        <f t="shared" si="450"/>
        <v>0</v>
      </c>
      <c r="V264" s="83">
        <f t="shared" si="450"/>
        <v>0</v>
      </c>
      <c r="W264" s="83">
        <f t="shared" si="450"/>
        <v>0</v>
      </c>
      <c r="X264" s="83">
        <f t="shared" si="450"/>
        <v>0</v>
      </c>
      <c r="Y264" s="83">
        <f t="shared" si="450"/>
        <v>0</v>
      </c>
      <c r="Z264" s="83">
        <f t="shared" si="450"/>
        <v>0</v>
      </c>
      <c r="AA264" s="83">
        <f t="shared" si="450"/>
        <v>0</v>
      </c>
      <c r="AB264" s="83">
        <f t="shared" si="450"/>
        <v>0</v>
      </c>
      <c r="AC264" s="83"/>
      <c r="AD264" s="83"/>
      <c r="AE264" s="83">
        <f t="shared" ref="AE264" si="451">AE261+AE263</f>
        <v>0</v>
      </c>
      <c r="AF264" s="83">
        <f t="shared" si="450"/>
        <v>0</v>
      </c>
      <c r="AG264" s="83">
        <f t="shared" ref="AG264:AH264" si="452">AG261+AG263</f>
        <v>0</v>
      </c>
      <c r="AH264" s="83">
        <f t="shared" si="452"/>
        <v>0</v>
      </c>
      <c r="AI264" s="83">
        <f t="shared" ref="AI264" si="453">AI261+AI263</f>
        <v>0</v>
      </c>
      <c r="AJ264" s="83">
        <f t="shared" ref="AJ264:AO264" si="454">AJ261+AJ263</f>
        <v>0</v>
      </c>
      <c r="AK264" s="83">
        <f t="shared" si="454"/>
        <v>0</v>
      </c>
      <c r="AL264" s="83">
        <f t="shared" si="454"/>
        <v>0</v>
      </c>
      <c r="AM264" s="83">
        <f t="shared" si="454"/>
        <v>0</v>
      </c>
      <c r="AN264" s="83">
        <f t="shared" si="454"/>
        <v>0</v>
      </c>
      <c r="AO264" s="83">
        <f t="shared" si="454"/>
        <v>8349.0301587438971</v>
      </c>
      <c r="AP264" s="83">
        <f t="shared" si="450"/>
        <v>22628.642829329725</v>
      </c>
      <c r="AQ264" s="83">
        <f t="shared" si="450"/>
        <v>0</v>
      </c>
      <c r="AR264" s="83">
        <f t="shared" si="450"/>
        <v>0</v>
      </c>
      <c r="AS264" s="83">
        <f t="shared" si="450"/>
        <v>0</v>
      </c>
      <c r="AT264" s="83">
        <f t="shared" si="450"/>
        <v>0</v>
      </c>
      <c r="AU264" s="83">
        <f t="shared" si="450"/>
        <v>0</v>
      </c>
      <c r="AV264" s="83">
        <f t="shared" si="450"/>
        <v>14670.438411926378</v>
      </c>
      <c r="AW264" s="83"/>
      <c r="AX264" s="83"/>
      <c r="AY264" s="83">
        <f t="shared" si="450"/>
        <v>0</v>
      </c>
      <c r="AZ264" s="83">
        <f t="shared" si="450"/>
        <v>0</v>
      </c>
      <c r="BA264" s="83">
        <f t="shared" si="450"/>
        <v>0</v>
      </c>
      <c r="BB264" s="83">
        <f t="shared" si="450"/>
        <v>0</v>
      </c>
      <c r="BC264" s="83">
        <f t="shared" si="450"/>
        <v>0</v>
      </c>
      <c r="BD264" s="83">
        <f t="shared" si="450"/>
        <v>0</v>
      </c>
      <c r="BE264" s="83">
        <f t="shared" si="450"/>
        <v>0</v>
      </c>
      <c r="BF264" s="83">
        <f t="shared" ref="BF264:BL264" si="455">BF261+BF263</f>
        <v>0</v>
      </c>
      <c r="BG264" s="83">
        <f t="shared" si="455"/>
        <v>0</v>
      </c>
      <c r="BH264" s="83">
        <f t="shared" si="455"/>
        <v>0</v>
      </c>
      <c r="BI264" s="83">
        <f t="shared" si="455"/>
        <v>0</v>
      </c>
      <c r="BJ264" s="83">
        <f t="shared" si="455"/>
        <v>0</v>
      </c>
      <c r="BK264" s="83">
        <f t="shared" si="455"/>
        <v>0</v>
      </c>
      <c r="BL264" s="83">
        <f t="shared" si="455"/>
        <v>0</v>
      </c>
      <c r="BM264" s="83">
        <f>SUM(G264:BL264)</f>
        <v>45648.111400000002</v>
      </c>
      <c r="BS264" s="83"/>
    </row>
    <row r="265" spans="1:82" hidden="1"/>
    <row r="266" spans="1:82" hidden="1"/>
    <row r="267" spans="1:82" hidden="1">
      <c r="A267" t="s">
        <v>648</v>
      </c>
      <c r="G267">
        <v>206717.19587979891</v>
      </c>
      <c r="H267">
        <v>84443.918027704029</v>
      </c>
      <c r="I267">
        <v>12725.609194764807</v>
      </c>
      <c r="J267">
        <v>16302.233004852447</v>
      </c>
      <c r="K267">
        <v>9499.7117590289727</v>
      </c>
      <c r="L267">
        <v>25537.591302616253</v>
      </c>
      <c r="M267">
        <v>39651.710509273849</v>
      </c>
      <c r="N267">
        <v>42168.303113298192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E267">
        <v>1745.7797887511572</v>
      </c>
      <c r="AF267">
        <v>727.62635872986766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1205.2947417090074</v>
      </c>
      <c r="AR267">
        <v>18030.99994708654</v>
      </c>
      <c r="AS267">
        <v>0</v>
      </c>
      <c r="AT267">
        <v>18827.986372385982</v>
      </c>
      <c r="AU267">
        <v>0</v>
      </c>
      <c r="AV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f>SUM(G267:BL267)</f>
        <v>477583.96</v>
      </c>
    </row>
    <row r="268" spans="1:82" hidden="1">
      <c r="E268" s="77"/>
      <c r="F268" s="77"/>
      <c r="G268" s="77">
        <f t="shared" ref="G268:AB268" si="456">G267/$BM$267</f>
        <v>0.43283948623358059</v>
      </c>
      <c r="H268" s="77">
        <f t="shared" si="456"/>
        <v>0.17681481184523873</v>
      </c>
      <c r="I268" s="77">
        <f t="shared" si="456"/>
        <v>2.6645805262732875E-2</v>
      </c>
      <c r="J268" s="77">
        <f t="shared" si="456"/>
        <v>3.4134800098505079E-2</v>
      </c>
      <c r="K268" s="77">
        <f t="shared" si="456"/>
        <v>1.9891186795781359E-2</v>
      </c>
      <c r="L268" s="77">
        <f t="shared" si="456"/>
        <v>5.34724644073395E-2</v>
      </c>
      <c r="M268" s="77">
        <f t="shared" si="456"/>
        <v>8.3025632831709523E-2</v>
      </c>
      <c r="N268" s="77">
        <f t="shared" si="456"/>
        <v>8.8295057299031129E-2</v>
      </c>
      <c r="O268" s="77">
        <f t="shared" si="456"/>
        <v>0</v>
      </c>
      <c r="P268" s="77">
        <f t="shared" si="456"/>
        <v>0</v>
      </c>
      <c r="Q268" s="77">
        <f t="shared" si="456"/>
        <v>0</v>
      </c>
      <c r="R268" s="77">
        <f t="shared" si="456"/>
        <v>0</v>
      </c>
      <c r="S268" s="77">
        <f t="shared" si="456"/>
        <v>0</v>
      </c>
      <c r="T268" s="77">
        <f t="shared" si="456"/>
        <v>0</v>
      </c>
      <c r="U268" s="77">
        <f t="shared" si="456"/>
        <v>0</v>
      </c>
      <c r="V268" s="77">
        <f t="shared" si="456"/>
        <v>0</v>
      </c>
      <c r="W268" s="77">
        <f t="shared" si="456"/>
        <v>0</v>
      </c>
      <c r="X268" s="77">
        <f t="shared" si="456"/>
        <v>0</v>
      </c>
      <c r="Y268" s="77">
        <f t="shared" si="456"/>
        <v>0</v>
      </c>
      <c r="Z268" s="77">
        <f t="shared" si="456"/>
        <v>0</v>
      </c>
      <c r="AA268" s="77">
        <f t="shared" si="456"/>
        <v>0</v>
      </c>
      <c r="AB268" s="77">
        <f t="shared" si="456"/>
        <v>0</v>
      </c>
      <c r="AC268" s="77"/>
      <c r="AD268" s="77"/>
      <c r="AE268" s="77">
        <f t="shared" ref="AE268:AV268" si="457">AE267/$BM$267</f>
        <v>3.6554405821149377E-3</v>
      </c>
      <c r="AF268" s="77">
        <f t="shared" si="457"/>
        <v>1.5235569442697942E-3</v>
      </c>
      <c r="AG268" s="77">
        <f t="shared" si="457"/>
        <v>0</v>
      </c>
      <c r="AH268" s="77">
        <f t="shared" si="457"/>
        <v>0</v>
      </c>
      <c r="AI268" s="77">
        <f t="shared" si="457"/>
        <v>0</v>
      </c>
      <c r="AJ268" s="77">
        <f t="shared" si="457"/>
        <v>0</v>
      </c>
      <c r="AK268" s="77">
        <f t="shared" si="457"/>
        <v>0</v>
      </c>
      <c r="AL268" s="77">
        <f t="shared" si="457"/>
        <v>0</v>
      </c>
      <c r="AM268" s="77">
        <f t="shared" si="457"/>
        <v>0</v>
      </c>
      <c r="AN268" s="77">
        <f t="shared" si="457"/>
        <v>0</v>
      </c>
      <c r="AO268" s="77">
        <f t="shared" si="457"/>
        <v>0</v>
      </c>
      <c r="AP268" s="77">
        <f t="shared" si="457"/>
        <v>0</v>
      </c>
      <c r="AQ268" s="77">
        <f t="shared" si="457"/>
        <v>2.5237337152382742E-3</v>
      </c>
      <c r="AR268" s="77">
        <f t="shared" si="457"/>
        <v>3.7754617946311554E-2</v>
      </c>
      <c r="AS268" s="77">
        <f t="shared" si="457"/>
        <v>0</v>
      </c>
      <c r="AT268" s="77">
        <f t="shared" si="457"/>
        <v>3.9423406038146633E-2</v>
      </c>
      <c r="AU268" s="77">
        <f t="shared" si="457"/>
        <v>0</v>
      </c>
      <c r="AV268" s="77">
        <f t="shared" si="457"/>
        <v>0</v>
      </c>
      <c r="AW268" s="77"/>
      <c r="AX268" s="77"/>
      <c r="AY268" s="77">
        <f t="shared" ref="AY268:BL268" si="458">AY267/$BM$267</f>
        <v>0</v>
      </c>
      <c r="AZ268" s="77">
        <f t="shared" si="458"/>
        <v>0</v>
      </c>
      <c r="BA268" s="77">
        <f t="shared" si="458"/>
        <v>0</v>
      </c>
      <c r="BB268" s="77">
        <f t="shared" si="458"/>
        <v>0</v>
      </c>
      <c r="BC268" s="77">
        <f t="shared" si="458"/>
        <v>0</v>
      </c>
      <c r="BD268" s="77">
        <f t="shared" si="458"/>
        <v>0</v>
      </c>
      <c r="BE268" s="77">
        <f t="shared" si="458"/>
        <v>0</v>
      </c>
      <c r="BF268" s="77">
        <f t="shared" si="458"/>
        <v>0</v>
      </c>
      <c r="BG268" s="77">
        <f t="shared" si="458"/>
        <v>0</v>
      </c>
      <c r="BH268" s="77">
        <f t="shared" si="458"/>
        <v>0</v>
      </c>
      <c r="BI268" s="77">
        <f t="shared" si="458"/>
        <v>0</v>
      </c>
      <c r="BJ268" s="77">
        <f t="shared" si="458"/>
        <v>0</v>
      </c>
      <c r="BK268" s="77">
        <f t="shared" si="458"/>
        <v>0</v>
      </c>
      <c r="BL268" s="77">
        <f t="shared" si="458"/>
        <v>0</v>
      </c>
      <c r="BM268" s="77">
        <f>SUM(G268:BL268)</f>
        <v>1</v>
      </c>
      <c r="BS268" s="77"/>
    </row>
    <row r="269" spans="1:82" hidden="1">
      <c r="E269" s="94"/>
      <c r="F269" s="94"/>
      <c r="G269" s="94">
        <f t="shared" ref="G269:AB269" si="459">G268*$BM$269</f>
        <v>162314.80733759273</v>
      </c>
      <c r="H269" s="94">
        <f t="shared" si="459"/>
        <v>66305.55444196453</v>
      </c>
      <c r="I269" s="94">
        <f t="shared" si="459"/>
        <v>9992.176973524829</v>
      </c>
      <c r="J269" s="94">
        <f t="shared" si="459"/>
        <v>12800.550036939405</v>
      </c>
      <c r="K269" s="94">
        <f t="shared" si="459"/>
        <v>7459.1950484180097</v>
      </c>
      <c r="L269" s="94">
        <f t="shared" si="459"/>
        <v>20052.174152752312</v>
      </c>
      <c r="M269" s="94">
        <f t="shared" si="459"/>
        <v>31134.612311891073</v>
      </c>
      <c r="N269" s="94">
        <f t="shared" si="459"/>
        <v>33110.646487136677</v>
      </c>
      <c r="O269" s="94">
        <f t="shared" si="459"/>
        <v>0</v>
      </c>
      <c r="P269" s="94">
        <f t="shared" si="459"/>
        <v>0</v>
      </c>
      <c r="Q269" s="94">
        <f t="shared" si="459"/>
        <v>0</v>
      </c>
      <c r="R269" s="94">
        <f t="shared" si="459"/>
        <v>0</v>
      </c>
      <c r="S269" s="94">
        <f t="shared" si="459"/>
        <v>0</v>
      </c>
      <c r="T269" s="94">
        <f t="shared" si="459"/>
        <v>0</v>
      </c>
      <c r="U269" s="94">
        <f t="shared" si="459"/>
        <v>0</v>
      </c>
      <c r="V269" s="94">
        <f t="shared" si="459"/>
        <v>0</v>
      </c>
      <c r="W269" s="94">
        <f t="shared" si="459"/>
        <v>0</v>
      </c>
      <c r="X269" s="94">
        <f t="shared" si="459"/>
        <v>0</v>
      </c>
      <c r="Y269" s="94">
        <f t="shared" si="459"/>
        <v>0</v>
      </c>
      <c r="Z269" s="94">
        <f t="shared" si="459"/>
        <v>0</v>
      </c>
      <c r="AA269" s="94">
        <f t="shared" si="459"/>
        <v>0</v>
      </c>
      <c r="AB269" s="94">
        <f t="shared" si="459"/>
        <v>0</v>
      </c>
      <c r="AC269" s="94"/>
      <c r="AD269" s="94"/>
      <c r="AE269" s="94">
        <f t="shared" ref="AE269:AV269" si="460">AE268*$BM$269</f>
        <v>1370.7902182931016</v>
      </c>
      <c r="AF269" s="94">
        <f t="shared" si="460"/>
        <v>571.33385410117285</v>
      </c>
      <c r="AG269" s="94">
        <f t="shared" si="460"/>
        <v>0</v>
      </c>
      <c r="AH269" s="94">
        <f t="shared" si="460"/>
        <v>0</v>
      </c>
      <c r="AI269" s="94">
        <f t="shared" si="460"/>
        <v>0</v>
      </c>
      <c r="AJ269" s="94">
        <f t="shared" si="460"/>
        <v>0</v>
      </c>
      <c r="AK269" s="94">
        <f t="shared" si="460"/>
        <v>0</v>
      </c>
      <c r="AL269" s="94">
        <f t="shared" si="460"/>
        <v>0</v>
      </c>
      <c r="AM269" s="94">
        <f t="shared" si="460"/>
        <v>0</v>
      </c>
      <c r="AN269" s="94">
        <f t="shared" si="460"/>
        <v>0</v>
      </c>
      <c r="AO269" s="94">
        <f t="shared" si="460"/>
        <v>0</v>
      </c>
      <c r="AP269" s="94">
        <f t="shared" si="460"/>
        <v>0</v>
      </c>
      <c r="AQ269" s="94">
        <f t="shared" si="460"/>
        <v>946.40014321435285</v>
      </c>
      <c r="AR269" s="94">
        <f t="shared" si="460"/>
        <v>14157.981729866833</v>
      </c>
      <c r="AS269" s="94">
        <f t="shared" si="460"/>
        <v>0</v>
      </c>
      <c r="AT269" s="94">
        <f t="shared" si="460"/>
        <v>14783.777264304987</v>
      </c>
      <c r="AU269" s="94">
        <f t="shared" si="460"/>
        <v>0</v>
      </c>
      <c r="AV269" s="94">
        <f t="shared" si="460"/>
        <v>0</v>
      </c>
      <c r="AW269" s="94"/>
      <c r="AX269" s="94"/>
      <c r="AY269" s="94">
        <f t="shared" ref="AY269:BL269" si="461">AY268*$BM$269</f>
        <v>0</v>
      </c>
      <c r="AZ269" s="94">
        <f t="shared" si="461"/>
        <v>0</v>
      </c>
      <c r="BA269" s="94">
        <f t="shared" si="461"/>
        <v>0</v>
      </c>
      <c r="BB269" s="94">
        <f t="shared" si="461"/>
        <v>0</v>
      </c>
      <c r="BC269" s="94">
        <f t="shared" si="461"/>
        <v>0</v>
      </c>
      <c r="BD269" s="94">
        <f t="shared" si="461"/>
        <v>0</v>
      </c>
      <c r="BE269" s="94">
        <f t="shared" si="461"/>
        <v>0</v>
      </c>
      <c r="BF269" s="94">
        <f t="shared" si="461"/>
        <v>0</v>
      </c>
      <c r="BG269" s="94">
        <f t="shared" si="461"/>
        <v>0</v>
      </c>
      <c r="BH269" s="94">
        <f t="shared" si="461"/>
        <v>0</v>
      </c>
      <c r="BI269" s="94">
        <f t="shared" si="461"/>
        <v>0</v>
      </c>
      <c r="BJ269" s="94">
        <f t="shared" si="461"/>
        <v>0</v>
      </c>
      <c r="BK269" s="94">
        <f t="shared" si="461"/>
        <v>0</v>
      </c>
      <c r="BL269" s="94">
        <f t="shared" si="461"/>
        <v>0</v>
      </c>
      <c r="BM269">
        <v>375000</v>
      </c>
    </row>
    <row r="270" spans="1:82" hidden="1">
      <c r="A270" t="s">
        <v>649</v>
      </c>
    </row>
    <row r="271" spans="1:82" hidden="1">
      <c r="A271" t="s">
        <v>149</v>
      </c>
      <c r="E271" s="94"/>
      <c r="F271" s="94"/>
      <c r="G271" s="94">
        <f t="shared" ref="G271:AB271" si="462">$G$279*G277</f>
        <v>5533.8341719999989</v>
      </c>
      <c r="H271" s="94">
        <f t="shared" si="462"/>
        <v>1559.5165279999997</v>
      </c>
      <c r="I271" s="94">
        <f t="shared" si="462"/>
        <v>604.21059199999991</v>
      </c>
      <c r="J271" s="94">
        <f t="shared" si="462"/>
        <v>624.62311199999988</v>
      </c>
      <c r="K271" s="94">
        <f t="shared" si="462"/>
        <v>191.87768799999998</v>
      </c>
      <c r="L271" s="94">
        <f t="shared" si="462"/>
        <v>412.33290399999993</v>
      </c>
      <c r="M271" s="94">
        <f t="shared" si="462"/>
        <v>875.69710799999984</v>
      </c>
      <c r="N271" s="94">
        <f t="shared" si="462"/>
        <v>1667.7028839999996</v>
      </c>
      <c r="O271" s="94">
        <f t="shared" si="462"/>
        <v>745.05697999999984</v>
      </c>
      <c r="P271" s="94">
        <f t="shared" si="462"/>
        <v>149.01139599999999</v>
      </c>
      <c r="Q271" s="94">
        <f t="shared" si="462"/>
        <v>416.41540799999996</v>
      </c>
      <c r="R271" s="94">
        <f t="shared" si="462"/>
        <v>996.13097599999992</v>
      </c>
      <c r="S271" s="94">
        <f t="shared" si="462"/>
        <v>193.91893999999996</v>
      </c>
      <c r="T271" s="94">
        <f t="shared" si="462"/>
        <v>10.206259999999999</v>
      </c>
      <c r="U271" s="94">
        <f t="shared" si="462"/>
        <v>236.78523199999995</v>
      </c>
      <c r="V271" s="94">
        <f t="shared" si="462"/>
        <v>0</v>
      </c>
      <c r="W271" s="94">
        <f t="shared" si="462"/>
        <v>0</v>
      </c>
      <c r="X271" s="94">
        <f t="shared" si="462"/>
        <v>714.43819999999994</v>
      </c>
      <c r="Y271" s="94">
        <f t="shared" si="462"/>
        <v>0</v>
      </c>
      <c r="Z271" s="94">
        <f t="shared" si="462"/>
        <v>0</v>
      </c>
      <c r="AA271" s="94">
        <f t="shared" si="462"/>
        <v>0</v>
      </c>
      <c r="AB271" s="94">
        <f t="shared" si="462"/>
        <v>1463.5776839999999</v>
      </c>
      <c r="AC271" s="94"/>
      <c r="AD271" s="94"/>
      <c r="AE271" s="94">
        <f t="shared" ref="AE271:AV271" si="463">$G$279*AE277</f>
        <v>0</v>
      </c>
      <c r="AF271" s="94">
        <f t="shared" si="463"/>
        <v>0</v>
      </c>
      <c r="AG271" s="94">
        <f t="shared" si="463"/>
        <v>1308.4425319999998</v>
      </c>
      <c r="AH271" s="94">
        <f t="shared" si="463"/>
        <v>591.96307999999999</v>
      </c>
      <c r="AI271" s="94">
        <f t="shared" si="463"/>
        <v>118.39261599999998</v>
      </c>
      <c r="AJ271" s="94">
        <f t="shared" si="463"/>
        <v>32.660031999999994</v>
      </c>
      <c r="AK271" s="94">
        <f t="shared" si="463"/>
        <v>46.948795999999994</v>
      </c>
      <c r="AL271" s="94">
        <f t="shared" si="463"/>
        <v>46.948795999999994</v>
      </c>
      <c r="AM271" s="94">
        <f t="shared" si="463"/>
        <v>38.783787999999994</v>
      </c>
      <c r="AN271" s="94">
        <f t="shared" si="463"/>
        <v>0</v>
      </c>
      <c r="AO271" s="94">
        <f t="shared" si="463"/>
        <v>0</v>
      </c>
      <c r="AP271" s="94">
        <f t="shared" si="463"/>
        <v>0</v>
      </c>
      <c r="AQ271" s="94">
        <f t="shared" si="463"/>
        <v>0</v>
      </c>
      <c r="AR271" s="94">
        <f t="shared" si="463"/>
        <v>342.9303359999999</v>
      </c>
      <c r="AS271" s="94">
        <f t="shared" si="463"/>
        <v>0</v>
      </c>
      <c r="AT271" s="94">
        <f t="shared" si="463"/>
        <v>1024.7085039999999</v>
      </c>
      <c r="AU271" s="94">
        <f t="shared" si="463"/>
        <v>81.650079999999988</v>
      </c>
      <c r="AV271" s="94">
        <f t="shared" si="463"/>
        <v>0</v>
      </c>
      <c r="AW271" s="94"/>
      <c r="AX271" s="94"/>
      <c r="AY271" s="94">
        <f t="shared" ref="AY271:BL271" si="464">$G$279*AY277</f>
        <v>0</v>
      </c>
      <c r="AZ271" s="94">
        <f t="shared" si="464"/>
        <v>0</v>
      </c>
      <c r="BA271" s="94">
        <f t="shared" si="464"/>
        <v>0</v>
      </c>
      <c r="BB271" s="94">
        <f t="shared" si="464"/>
        <v>0</v>
      </c>
      <c r="BC271" s="94">
        <f t="shared" si="464"/>
        <v>0</v>
      </c>
      <c r="BD271" s="94">
        <f t="shared" si="464"/>
        <v>0</v>
      </c>
      <c r="BE271" s="94">
        <f t="shared" si="464"/>
        <v>0</v>
      </c>
      <c r="BF271" s="94">
        <f t="shared" si="464"/>
        <v>0</v>
      </c>
      <c r="BG271" s="94">
        <f t="shared" si="464"/>
        <v>0</v>
      </c>
      <c r="BH271" s="94">
        <f t="shared" si="464"/>
        <v>0</v>
      </c>
      <c r="BI271" s="94">
        <f t="shared" si="464"/>
        <v>0</v>
      </c>
      <c r="BJ271" s="94">
        <f t="shared" si="464"/>
        <v>0</v>
      </c>
      <c r="BK271" s="94">
        <f t="shared" si="464"/>
        <v>0</v>
      </c>
      <c r="BL271" s="94">
        <f t="shared" si="464"/>
        <v>0</v>
      </c>
      <c r="BM271" s="94">
        <f>SUM(G271:BL271)</f>
        <v>20028.764624000007</v>
      </c>
      <c r="BN271" s="94"/>
      <c r="BO271" s="94"/>
      <c r="BP271" s="94"/>
      <c r="BQ271" s="94"/>
      <c r="BR271" s="94"/>
      <c r="BS271" s="94"/>
      <c r="BT271" s="94"/>
      <c r="BU271" s="94"/>
      <c r="BV271" s="94"/>
      <c r="BW271" s="94"/>
      <c r="BX271" s="94"/>
      <c r="BY271" s="94"/>
      <c r="BZ271" s="94"/>
      <c r="CA271" s="94"/>
      <c r="CB271" s="94"/>
      <c r="CC271" s="94"/>
      <c r="CD271" s="94"/>
    </row>
    <row r="272" spans="1:82" hidden="1">
      <c r="A272" t="s">
        <v>150</v>
      </c>
      <c r="E272" s="94"/>
      <c r="F272" s="94"/>
      <c r="G272" s="94">
        <f t="shared" ref="G272:AB272" si="465">$G$280*G277</f>
        <v>1362.4835360000002</v>
      </c>
      <c r="H272" s="94">
        <f t="shared" si="465"/>
        <v>383.96806399999997</v>
      </c>
      <c r="I272" s="94">
        <f t="shared" si="465"/>
        <v>148.76249600000003</v>
      </c>
      <c r="J272" s="94">
        <f t="shared" si="465"/>
        <v>153.78825599999999</v>
      </c>
      <c r="K272" s="94">
        <f t="shared" si="465"/>
        <v>47.242144000000003</v>
      </c>
      <c r="L272" s="94">
        <f t="shared" si="465"/>
        <v>101.520352</v>
      </c>
      <c r="M272" s="94">
        <f t="shared" si="465"/>
        <v>215.60510400000001</v>
      </c>
      <c r="N272" s="94">
        <f t="shared" si="465"/>
        <v>410.60459199999997</v>
      </c>
      <c r="O272" s="94">
        <f t="shared" si="465"/>
        <v>183.44023999999999</v>
      </c>
      <c r="P272" s="94">
        <f t="shared" si="465"/>
        <v>36.688048000000002</v>
      </c>
      <c r="Q272" s="94">
        <f t="shared" si="465"/>
        <v>102.52550400000001</v>
      </c>
      <c r="R272" s="94">
        <f t="shared" si="465"/>
        <v>245.25708800000004</v>
      </c>
      <c r="S272" s="94">
        <f t="shared" si="465"/>
        <v>47.744720000000001</v>
      </c>
      <c r="T272" s="94">
        <f t="shared" si="465"/>
        <v>2.51288</v>
      </c>
      <c r="U272" s="94">
        <f t="shared" si="465"/>
        <v>58.298815999999995</v>
      </c>
      <c r="V272" s="94">
        <f t="shared" si="465"/>
        <v>0</v>
      </c>
      <c r="W272" s="94">
        <f t="shared" si="465"/>
        <v>0</v>
      </c>
      <c r="X272" s="94">
        <f t="shared" si="465"/>
        <v>175.90160000000003</v>
      </c>
      <c r="Y272" s="94">
        <f t="shared" si="465"/>
        <v>0</v>
      </c>
      <c r="Z272" s="94">
        <f t="shared" si="465"/>
        <v>0</v>
      </c>
      <c r="AA272" s="94">
        <f t="shared" si="465"/>
        <v>0</v>
      </c>
      <c r="AB272" s="94">
        <f t="shared" si="465"/>
        <v>360.346992</v>
      </c>
      <c r="AC272" s="94"/>
      <c r="AD272" s="94"/>
      <c r="AE272" s="94">
        <f t="shared" ref="AE272:AV272" si="466">$G$280*AE277</f>
        <v>0</v>
      </c>
      <c r="AF272" s="94">
        <f t="shared" si="466"/>
        <v>0</v>
      </c>
      <c r="AG272" s="94">
        <f t="shared" si="466"/>
        <v>322.15121600000003</v>
      </c>
      <c r="AH272" s="94">
        <f t="shared" si="466"/>
        <v>145.74704000000003</v>
      </c>
      <c r="AI272" s="94">
        <f t="shared" si="466"/>
        <v>29.149407999999998</v>
      </c>
      <c r="AJ272" s="94">
        <f t="shared" si="466"/>
        <v>8.0412160000000004</v>
      </c>
      <c r="AK272" s="94">
        <f t="shared" si="466"/>
        <v>11.559248</v>
      </c>
      <c r="AL272" s="94">
        <f t="shared" si="466"/>
        <v>11.559248</v>
      </c>
      <c r="AM272" s="94">
        <f t="shared" si="466"/>
        <v>9.5489440000000005</v>
      </c>
      <c r="AN272" s="94">
        <f t="shared" si="466"/>
        <v>0</v>
      </c>
      <c r="AO272" s="94">
        <f t="shared" si="466"/>
        <v>0</v>
      </c>
      <c r="AP272" s="94">
        <f t="shared" si="466"/>
        <v>0</v>
      </c>
      <c r="AQ272" s="94">
        <f t="shared" si="466"/>
        <v>0</v>
      </c>
      <c r="AR272" s="94">
        <f t="shared" si="466"/>
        <v>84.432767999999996</v>
      </c>
      <c r="AS272" s="94">
        <f t="shared" si="466"/>
        <v>0</v>
      </c>
      <c r="AT272" s="94">
        <f t="shared" si="466"/>
        <v>252.29315200000002</v>
      </c>
      <c r="AU272" s="94">
        <f t="shared" si="466"/>
        <v>20.10304</v>
      </c>
      <c r="AV272" s="94">
        <f t="shared" si="466"/>
        <v>0</v>
      </c>
      <c r="AW272" s="94"/>
      <c r="AX272" s="94"/>
      <c r="AY272" s="94">
        <f t="shared" ref="AY272:BL272" si="467">$G$280*AY277</f>
        <v>0</v>
      </c>
      <c r="AZ272" s="94">
        <f t="shared" si="467"/>
        <v>0</v>
      </c>
      <c r="BA272" s="94">
        <f t="shared" si="467"/>
        <v>0</v>
      </c>
      <c r="BB272" s="94">
        <f t="shared" si="467"/>
        <v>0</v>
      </c>
      <c r="BC272" s="94">
        <f t="shared" si="467"/>
        <v>0</v>
      </c>
      <c r="BD272" s="94">
        <f t="shared" si="467"/>
        <v>0</v>
      </c>
      <c r="BE272" s="94">
        <f t="shared" si="467"/>
        <v>0</v>
      </c>
      <c r="BF272" s="94">
        <f t="shared" si="467"/>
        <v>0</v>
      </c>
      <c r="BG272" s="94">
        <f t="shared" si="467"/>
        <v>0</v>
      </c>
      <c r="BH272" s="94">
        <f t="shared" si="467"/>
        <v>0</v>
      </c>
      <c r="BI272" s="94">
        <f t="shared" si="467"/>
        <v>0</v>
      </c>
      <c r="BJ272" s="94">
        <f t="shared" si="467"/>
        <v>0</v>
      </c>
      <c r="BK272" s="94">
        <f t="shared" si="467"/>
        <v>0</v>
      </c>
      <c r="BL272" s="94">
        <f t="shared" si="467"/>
        <v>0</v>
      </c>
      <c r="BM272" s="94">
        <f>SUM(G272:BL272)</f>
        <v>4931.2757119999997</v>
      </c>
      <c r="BN272" s="94"/>
      <c r="BO272" s="94"/>
      <c r="BP272" s="94"/>
      <c r="BQ272" s="94"/>
      <c r="BR272" s="94"/>
      <c r="BS272" s="94"/>
      <c r="BT272" s="94"/>
      <c r="BU272" s="94"/>
      <c r="BV272" s="94"/>
      <c r="BW272" s="94"/>
      <c r="BX272" s="94"/>
      <c r="BY272" s="94"/>
      <c r="BZ272" s="94"/>
      <c r="CA272" s="94"/>
      <c r="CB272" s="94"/>
      <c r="CC272" s="94"/>
      <c r="CD272" s="94"/>
    </row>
    <row r="273" spans="1:82" hidden="1">
      <c r="A273" t="s">
        <v>151</v>
      </c>
      <c r="E273" s="94"/>
      <c r="F273" s="94"/>
      <c r="G273" s="94">
        <f t="shared" ref="G273:AB273" si="468">$G$281*G277</f>
        <v>2794.4039149999999</v>
      </c>
      <c r="H273" s="94">
        <f t="shared" si="468"/>
        <v>787.50445999999988</v>
      </c>
      <c r="I273" s="94">
        <f t="shared" si="468"/>
        <v>305.10644000000002</v>
      </c>
      <c r="J273" s="94">
        <f t="shared" si="468"/>
        <v>315.41408999999999</v>
      </c>
      <c r="K273" s="94">
        <f t="shared" si="468"/>
        <v>96.891909999999996</v>
      </c>
      <c r="L273" s="94">
        <f t="shared" si="468"/>
        <v>208.21453</v>
      </c>
      <c r="M273" s="94">
        <f t="shared" si="468"/>
        <v>442.19818499999997</v>
      </c>
      <c r="N273" s="94">
        <f t="shared" si="468"/>
        <v>842.13500499999986</v>
      </c>
      <c r="O273" s="94">
        <f t="shared" si="468"/>
        <v>376.22922499999999</v>
      </c>
      <c r="P273" s="94">
        <f t="shared" si="468"/>
        <v>75.245845000000003</v>
      </c>
      <c r="Q273" s="94">
        <f t="shared" si="468"/>
        <v>210.27606</v>
      </c>
      <c r="R273" s="94">
        <f t="shared" si="468"/>
        <v>503.01332000000002</v>
      </c>
      <c r="S273" s="94">
        <f t="shared" si="468"/>
        <v>97.922674999999998</v>
      </c>
      <c r="T273" s="94">
        <f t="shared" si="468"/>
        <v>5.1538250000000003</v>
      </c>
      <c r="U273" s="94">
        <f t="shared" si="468"/>
        <v>119.56873999999999</v>
      </c>
      <c r="V273" s="94">
        <f t="shared" si="468"/>
        <v>0</v>
      </c>
      <c r="W273" s="94">
        <f t="shared" si="468"/>
        <v>0</v>
      </c>
      <c r="X273" s="94">
        <f t="shared" si="468"/>
        <v>360.76775000000004</v>
      </c>
      <c r="Y273" s="94">
        <f t="shared" si="468"/>
        <v>0</v>
      </c>
      <c r="Z273" s="94">
        <f t="shared" si="468"/>
        <v>0</v>
      </c>
      <c r="AA273" s="94">
        <f t="shared" si="468"/>
        <v>0</v>
      </c>
      <c r="AB273" s="94">
        <f t="shared" si="468"/>
        <v>739.05850499999997</v>
      </c>
      <c r="AC273" s="94"/>
      <c r="AD273" s="94"/>
      <c r="AE273" s="94">
        <f t="shared" ref="AE273:AV273" si="469">$G$281*AE277</f>
        <v>0</v>
      </c>
      <c r="AF273" s="94">
        <f t="shared" si="469"/>
        <v>0</v>
      </c>
      <c r="AG273" s="94">
        <f t="shared" si="469"/>
        <v>660.72036500000002</v>
      </c>
      <c r="AH273" s="94">
        <f t="shared" si="469"/>
        <v>298.92185000000001</v>
      </c>
      <c r="AI273" s="94">
        <f t="shared" si="469"/>
        <v>59.784369999999996</v>
      </c>
      <c r="AJ273" s="94">
        <f t="shared" si="469"/>
        <v>16.492239999999999</v>
      </c>
      <c r="AK273" s="94">
        <f t="shared" si="469"/>
        <v>23.707594999999998</v>
      </c>
      <c r="AL273" s="94">
        <f t="shared" si="469"/>
        <v>23.707594999999998</v>
      </c>
      <c r="AM273" s="94">
        <f t="shared" si="469"/>
        <v>19.584534999999999</v>
      </c>
      <c r="AN273" s="94">
        <f t="shared" si="469"/>
        <v>0</v>
      </c>
      <c r="AO273" s="94">
        <f t="shared" si="469"/>
        <v>0</v>
      </c>
      <c r="AP273" s="94">
        <f t="shared" si="469"/>
        <v>0</v>
      </c>
      <c r="AQ273" s="94">
        <f t="shared" si="469"/>
        <v>0</v>
      </c>
      <c r="AR273" s="94">
        <f t="shared" si="469"/>
        <v>173.16851999999997</v>
      </c>
      <c r="AS273" s="94">
        <f t="shared" si="469"/>
        <v>0</v>
      </c>
      <c r="AT273" s="94">
        <f t="shared" si="469"/>
        <v>517.44403</v>
      </c>
      <c r="AU273" s="94">
        <f t="shared" si="469"/>
        <v>41.230600000000003</v>
      </c>
      <c r="AV273" s="94">
        <f t="shared" si="469"/>
        <v>0</v>
      </c>
      <c r="AW273" s="94"/>
      <c r="AX273" s="94"/>
      <c r="AY273" s="94">
        <f t="shared" ref="AY273:BL273" si="470">$G$281*AY277</f>
        <v>0</v>
      </c>
      <c r="AZ273" s="94">
        <f t="shared" si="470"/>
        <v>0</v>
      </c>
      <c r="BA273" s="94">
        <f t="shared" si="470"/>
        <v>0</v>
      </c>
      <c r="BB273" s="94">
        <f t="shared" si="470"/>
        <v>0</v>
      </c>
      <c r="BC273" s="94">
        <f t="shared" si="470"/>
        <v>0</v>
      </c>
      <c r="BD273" s="94">
        <f t="shared" si="470"/>
        <v>0</v>
      </c>
      <c r="BE273" s="94">
        <f t="shared" si="470"/>
        <v>0</v>
      </c>
      <c r="BF273" s="94">
        <f t="shared" si="470"/>
        <v>0</v>
      </c>
      <c r="BG273" s="94">
        <f t="shared" si="470"/>
        <v>0</v>
      </c>
      <c r="BH273" s="94">
        <f t="shared" si="470"/>
        <v>0</v>
      </c>
      <c r="BI273" s="94">
        <f t="shared" si="470"/>
        <v>0</v>
      </c>
      <c r="BJ273" s="94">
        <f t="shared" si="470"/>
        <v>0</v>
      </c>
      <c r="BK273" s="94">
        <f t="shared" si="470"/>
        <v>0</v>
      </c>
      <c r="BL273" s="94">
        <f t="shared" si="470"/>
        <v>0</v>
      </c>
      <c r="BM273" s="94">
        <f>SUM(G273:BL273)</f>
        <v>10113.866180000001</v>
      </c>
      <c r="BN273" s="94"/>
      <c r="BO273" s="94"/>
      <c r="BP273" s="94"/>
      <c r="BQ273" s="94"/>
      <c r="BR273" s="94"/>
      <c r="BS273" s="94"/>
      <c r="BT273" s="94"/>
      <c r="BU273" s="94"/>
      <c r="BV273" s="94"/>
      <c r="BW273" s="94"/>
      <c r="BX273" s="94"/>
      <c r="BY273" s="94"/>
      <c r="BZ273" s="94"/>
      <c r="CA273" s="94"/>
      <c r="CB273" s="94"/>
      <c r="CC273" s="94"/>
      <c r="CD273" s="94"/>
    </row>
    <row r="274" spans="1:82" hidden="1">
      <c r="A274" t="s">
        <v>152</v>
      </c>
      <c r="E274" s="94"/>
      <c r="F274" s="94"/>
      <c r="G274" s="94">
        <f t="shared" ref="G274:AB274" si="471">$G$282*G277</f>
        <v>677.75</v>
      </c>
      <c r="H274" s="94">
        <f t="shared" si="471"/>
        <v>191</v>
      </c>
      <c r="I274" s="94">
        <f t="shared" si="471"/>
        <v>74</v>
      </c>
      <c r="J274" s="94">
        <f t="shared" si="471"/>
        <v>76.5</v>
      </c>
      <c r="K274" s="94">
        <f t="shared" si="471"/>
        <v>23.5</v>
      </c>
      <c r="L274" s="94">
        <f t="shared" si="471"/>
        <v>50.5</v>
      </c>
      <c r="M274" s="94">
        <f t="shared" si="471"/>
        <v>107.25</v>
      </c>
      <c r="N274" s="94">
        <f t="shared" si="471"/>
        <v>204.25</v>
      </c>
      <c r="O274" s="94">
        <f t="shared" si="471"/>
        <v>91.25</v>
      </c>
      <c r="P274" s="94">
        <f t="shared" si="471"/>
        <v>18.25</v>
      </c>
      <c r="Q274" s="94">
        <f t="shared" si="471"/>
        <v>51.000000000000007</v>
      </c>
      <c r="R274" s="94">
        <f t="shared" si="471"/>
        <v>122.00000000000001</v>
      </c>
      <c r="S274" s="94">
        <f t="shared" si="471"/>
        <v>23.75</v>
      </c>
      <c r="T274" s="94">
        <f t="shared" si="471"/>
        <v>1.25</v>
      </c>
      <c r="U274" s="94">
        <f t="shared" si="471"/>
        <v>28.999999999999996</v>
      </c>
      <c r="V274" s="94">
        <f t="shared" si="471"/>
        <v>0</v>
      </c>
      <c r="W274" s="94">
        <f t="shared" si="471"/>
        <v>0</v>
      </c>
      <c r="X274" s="94">
        <f t="shared" si="471"/>
        <v>87.500000000000014</v>
      </c>
      <c r="Y274" s="94">
        <f t="shared" si="471"/>
        <v>0</v>
      </c>
      <c r="Z274" s="94">
        <f t="shared" si="471"/>
        <v>0</v>
      </c>
      <c r="AA274" s="94">
        <f t="shared" si="471"/>
        <v>0</v>
      </c>
      <c r="AB274" s="94">
        <f t="shared" si="471"/>
        <v>179.25</v>
      </c>
      <c r="AC274" s="94"/>
      <c r="AD274" s="94"/>
      <c r="AE274" s="94">
        <f t="shared" ref="AE274:AV274" si="472">$G$282*AE277</f>
        <v>0</v>
      </c>
      <c r="AF274" s="94">
        <f t="shared" si="472"/>
        <v>0</v>
      </c>
      <c r="AG274" s="94">
        <f t="shared" si="472"/>
        <v>160.25</v>
      </c>
      <c r="AH274" s="94">
        <f t="shared" si="472"/>
        <v>72.5</v>
      </c>
      <c r="AI274" s="94">
        <f t="shared" si="472"/>
        <v>14.499999999999998</v>
      </c>
      <c r="AJ274" s="94">
        <f t="shared" si="472"/>
        <v>4</v>
      </c>
      <c r="AK274" s="94">
        <f t="shared" si="472"/>
        <v>5.75</v>
      </c>
      <c r="AL274" s="94">
        <f t="shared" si="472"/>
        <v>5.75</v>
      </c>
      <c r="AM274" s="94">
        <f t="shared" si="472"/>
        <v>4.75</v>
      </c>
      <c r="AN274" s="94">
        <f t="shared" si="472"/>
        <v>0</v>
      </c>
      <c r="AO274" s="94">
        <f t="shared" si="472"/>
        <v>0</v>
      </c>
      <c r="AP274" s="94">
        <f t="shared" si="472"/>
        <v>0</v>
      </c>
      <c r="AQ274" s="94">
        <f t="shared" si="472"/>
        <v>0</v>
      </c>
      <c r="AR274" s="94">
        <f t="shared" si="472"/>
        <v>42</v>
      </c>
      <c r="AS274" s="94">
        <f t="shared" si="472"/>
        <v>0</v>
      </c>
      <c r="AT274" s="94">
        <f t="shared" si="472"/>
        <v>125.5</v>
      </c>
      <c r="AU274" s="94">
        <f t="shared" si="472"/>
        <v>10</v>
      </c>
      <c r="AV274" s="94">
        <f t="shared" si="472"/>
        <v>0</v>
      </c>
      <c r="AW274" s="94"/>
      <c r="AX274" s="94"/>
      <c r="AY274" s="94">
        <f t="shared" ref="AY274:BL274" si="473">$G$282*AY277</f>
        <v>0</v>
      </c>
      <c r="AZ274" s="94">
        <f t="shared" si="473"/>
        <v>0</v>
      </c>
      <c r="BA274" s="94">
        <f t="shared" si="473"/>
        <v>0</v>
      </c>
      <c r="BB274" s="94">
        <f t="shared" si="473"/>
        <v>0</v>
      </c>
      <c r="BC274" s="94">
        <f t="shared" si="473"/>
        <v>0</v>
      </c>
      <c r="BD274" s="94">
        <f t="shared" si="473"/>
        <v>0</v>
      </c>
      <c r="BE274" s="94">
        <f t="shared" si="473"/>
        <v>0</v>
      </c>
      <c r="BF274" s="94">
        <f t="shared" si="473"/>
        <v>0</v>
      </c>
      <c r="BG274" s="94">
        <f t="shared" si="473"/>
        <v>0</v>
      </c>
      <c r="BH274" s="94">
        <f t="shared" si="473"/>
        <v>0</v>
      </c>
      <c r="BI274" s="94">
        <f t="shared" si="473"/>
        <v>0</v>
      </c>
      <c r="BJ274" s="94">
        <f t="shared" si="473"/>
        <v>0</v>
      </c>
      <c r="BK274" s="94">
        <f t="shared" si="473"/>
        <v>0</v>
      </c>
      <c r="BL274" s="94">
        <f t="shared" si="473"/>
        <v>0</v>
      </c>
      <c r="BM274" s="94">
        <f>SUM(G274:BL274)</f>
        <v>2453</v>
      </c>
      <c r="BN274" s="94"/>
      <c r="BO274" s="94"/>
      <c r="BP274" s="94"/>
      <c r="BQ274" s="94"/>
      <c r="BR274" s="94"/>
      <c r="BS274" s="94"/>
      <c r="BT274" s="94"/>
      <c r="BU274" s="94"/>
      <c r="BV274" s="94"/>
      <c r="BW274" s="94"/>
      <c r="BX274" s="94"/>
      <c r="BY274" s="94"/>
      <c r="BZ274" s="94"/>
      <c r="CA274" s="94"/>
      <c r="CB274" s="94"/>
      <c r="CC274" s="94"/>
      <c r="CD274" s="94"/>
    </row>
    <row r="275" spans="1:82" hidden="1">
      <c r="A275" t="s">
        <v>153</v>
      </c>
      <c r="E275" s="94"/>
      <c r="F275" s="94"/>
      <c r="G275" s="94">
        <f t="shared" ref="G275:AB275" si="474">$G$283*G277</f>
        <v>1944.03099</v>
      </c>
      <c r="H275" s="94">
        <f t="shared" si="474"/>
        <v>547.85675999999989</v>
      </c>
      <c r="I275" s="94">
        <f t="shared" si="474"/>
        <v>212.25863999999999</v>
      </c>
      <c r="J275" s="94">
        <f t="shared" si="474"/>
        <v>219.42953999999997</v>
      </c>
      <c r="K275" s="94">
        <f t="shared" si="474"/>
        <v>67.406459999999996</v>
      </c>
      <c r="L275" s="94">
        <f t="shared" si="474"/>
        <v>144.85217999999998</v>
      </c>
      <c r="M275" s="94">
        <f t="shared" si="474"/>
        <v>307.63160999999997</v>
      </c>
      <c r="N275" s="94">
        <f t="shared" si="474"/>
        <v>585.86252999999988</v>
      </c>
      <c r="O275" s="94">
        <f t="shared" si="474"/>
        <v>261.73784999999998</v>
      </c>
      <c r="P275" s="94">
        <f t="shared" si="474"/>
        <v>52.347569999999997</v>
      </c>
      <c r="Q275" s="94">
        <f t="shared" si="474"/>
        <v>146.28636</v>
      </c>
      <c r="R275" s="94">
        <f t="shared" si="474"/>
        <v>349.93992000000003</v>
      </c>
      <c r="S275" s="94">
        <f t="shared" si="474"/>
        <v>68.123549999999994</v>
      </c>
      <c r="T275" s="94">
        <f t="shared" si="474"/>
        <v>3.5854499999999998</v>
      </c>
      <c r="U275" s="94">
        <f t="shared" si="474"/>
        <v>83.182439999999986</v>
      </c>
      <c r="V275" s="94">
        <f t="shared" si="474"/>
        <v>0</v>
      </c>
      <c r="W275" s="94">
        <f t="shared" si="474"/>
        <v>0</v>
      </c>
      <c r="X275" s="94">
        <f t="shared" si="474"/>
        <v>250.98150000000001</v>
      </c>
      <c r="Y275" s="94">
        <f t="shared" si="474"/>
        <v>0</v>
      </c>
      <c r="Z275" s="94">
        <f t="shared" si="474"/>
        <v>0</v>
      </c>
      <c r="AA275" s="94">
        <f t="shared" si="474"/>
        <v>0</v>
      </c>
      <c r="AB275" s="94">
        <f t="shared" si="474"/>
        <v>514.15352999999993</v>
      </c>
      <c r="AC275" s="94"/>
      <c r="AD275" s="94"/>
      <c r="AE275" s="94">
        <f t="shared" ref="AE275:AV275" si="475">$G$283*AE277</f>
        <v>0</v>
      </c>
      <c r="AF275" s="94">
        <f t="shared" si="475"/>
        <v>0</v>
      </c>
      <c r="AG275" s="94">
        <f t="shared" si="475"/>
        <v>459.65469000000002</v>
      </c>
      <c r="AH275" s="94">
        <f t="shared" si="475"/>
        <v>207.95609999999999</v>
      </c>
      <c r="AI275" s="94">
        <f t="shared" si="475"/>
        <v>41.591219999999993</v>
      </c>
      <c r="AJ275" s="94">
        <f t="shared" si="475"/>
        <v>11.47344</v>
      </c>
      <c r="AK275" s="94">
        <f t="shared" si="475"/>
        <v>16.493069999999999</v>
      </c>
      <c r="AL275" s="94">
        <f t="shared" si="475"/>
        <v>16.493069999999999</v>
      </c>
      <c r="AM275" s="94">
        <f t="shared" si="475"/>
        <v>13.624709999999999</v>
      </c>
      <c r="AN275" s="94">
        <f t="shared" si="475"/>
        <v>0</v>
      </c>
      <c r="AO275" s="94">
        <f t="shared" si="475"/>
        <v>0</v>
      </c>
      <c r="AP275" s="94">
        <f t="shared" si="475"/>
        <v>0</v>
      </c>
      <c r="AQ275" s="94">
        <f t="shared" si="475"/>
        <v>0</v>
      </c>
      <c r="AR275" s="94">
        <f t="shared" si="475"/>
        <v>120.47111999999998</v>
      </c>
      <c r="AS275" s="94">
        <f t="shared" si="475"/>
        <v>0</v>
      </c>
      <c r="AT275" s="94">
        <f t="shared" si="475"/>
        <v>359.97917999999999</v>
      </c>
      <c r="AU275" s="94">
        <f t="shared" si="475"/>
        <v>28.683599999999998</v>
      </c>
      <c r="AV275" s="94">
        <f t="shared" si="475"/>
        <v>0</v>
      </c>
      <c r="AW275" s="94"/>
      <c r="AX275" s="94"/>
      <c r="AY275" s="94">
        <f t="shared" ref="AY275:BL275" si="476">$G$283*AY277</f>
        <v>0</v>
      </c>
      <c r="AZ275" s="94">
        <f t="shared" si="476"/>
        <v>0</v>
      </c>
      <c r="BA275" s="94">
        <f t="shared" si="476"/>
        <v>0</v>
      </c>
      <c r="BB275" s="94">
        <f t="shared" si="476"/>
        <v>0</v>
      </c>
      <c r="BC275" s="94">
        <f t="shared" si="476"/>
        <v>0</v>
      </c>
      <c r="BD275" s="94">
        <f t="shared" si="476"/>
        <v>0</v>
      </c>
      <c r="BE275" s="94">
        <f t="shared" si="476"/>
        <v>0</v>
      </c>
      <c r="BF275" s="94">
        <f t="shared" si="476"/>
        <v>0</v>
      </c>
      <c r="BG275" s="94">
        <f t="shared" si="476"/>
        <v>0</v>
      </c>
      <c r="BH275" s="94">
        <f t="shared" si="476"/>
        <v>0</v>
      </c>
      <c r="BI275" s="94">
        <f t="shared" si="476"/>
        <v>0</v>
      </c>
      <c r="BJ275" s="94">
        <f t="shared" si="476"/>
        <v>0</v>
      </c>
      <c r="BK275" s="94">
        <f t="shared" si="476"/>
        <v>0</v>
      </c>
      <c r="BL275" s="94">
        <f t="shared" si="476"/>
        <v>0</v>
      </c>
      <c r="BM275" s="94">
        <f>SUM(G275:BL275)</f>
        <v>7036.0870800000002</v>
      </c>
      <c r="BN275" s="94"/>
      <c r="BO275" s="94"/>
      <c r="BP275" s="94"/>
      <c r="BQ275" s="94"/>
      <c r="BR275" s="94"/>
      <c r="BS275" s="94"/>
      <c r="BT275" s="94"/>
      <c r="BU275" s="94"/>
      <c r="BV275" s="94"/>
      <c r="BW275" s="94"/>
      <c r="BX275" s="94"/>
      <c r="BY275" s="94"/>
      <c r="BZ275" s="94"/>
      <c r="CA275" s="94"/>
      <c r="CB275" s="94"/>
      <c r="CC275" s="94"/>
      <c r="CD275" s="94"/>
    </row>
    <row r="276" spans="1:82" hidden="1"/>
    <row r="277" spans="1:82" hidden="1">
      <c r="A277" t="s">
        <v>650</v>
      </c>
      <c r="E277" s="77"/>
      <c r="F277" s="77"/>
      <c r="G277" s="77">
        <v>0.27110000000000001</v>
      </c>
      <c r="H277" s="77">
        <v>7.6399999999999996E-2</v>
      </c>
      <c r="I277" s="77">
        <v>2.9600000000000001E-2</v>
      </c>
      <c r="J277" s="77">
        <v>3.0599999999999999E-2</v>
      </c>
      <c r="K277" s="77">
        <v>9.4000000000000004E-3</v>
      </c>
      <c r="L277" s="77">
        <v>2.0199999999999999E-2</v>
      </c>
      <c r="M277" s="77">
        <v>4.2900000000000001E-2</v>
      </c>
      <c r="N277" s="77">
        <v>8.1699999999999995E-2</v>
      </c>
      <c r="O277" s="77">
        <v>3.6499999999999998E-2</v>
      </c>
      <c r="P277" s="77">
        <v>7.3000000000000001E-3</v>
      </c>
      <c r="Q277" s="77">
        <v>2.0400000000000001E-2</v>
      </c>
      <c r="R277" s="77">
        <v>4.8800000000000003E-2</v>
      </c>
      <c r="S277" s="77">
        <v>9.4999999999999998E-3</v>
      </c>
      <c r="T277" s="77">
        <v>5.0000000000000001E-4</v>
      </c>
      <c r="U277" s="77">
        <v>1.1599999999999999E-2</v>
      </c>
      <c r="V277" s="77">
        <v>0</v>
      </c>
      <c r="W277" s="77">
        <v>0</v>
      </c>
      <c r="X277" s="77">
        <v>3.5000000000000003E-2</v>
      </c>
      <c r="Y277" s="77">
        <v>0</v>
      </c>
      <c r="Z277" s="77">
        <v>0</v>
      </c>
      <c r="AA277" s="77">
        <v>0</v>
      </c>
      <c r="AB277" s="77">
        <v>7.17E-2</v>
      </c>
      <c r="AC277" s="77"/>
      <c r="AD277" s="77"/>
      <c r="AE277" s="77">
        <v>0</v>
      </c>
      <c r="AF277" s="77">
        <v>0</v>
      </c>
      <c r="AG277" s="77">
        <v>6.4100000000000004E-2</v>
      </c>
      <c r="AH277" s="77">
        <v>2.9000000000000001E-2</v>
      </c>
      <c r="AI277" s="77">
        <v>5.7999999999999996E-3</v>
      </c>
      <c r="AJ277" s="77">
        <v>1.6000000000000001E-3</v>
      </c>
      <c r="AK277" s="77">
        <v>2.3E-3</v>
      </c>
      <c r="AL277" s="77">
        <v>2.3E-3</v>
      </c>
      <c r="AM277" s="77">
        <v>1.9E-3</v>
      </c>
      <c r="AN277" s="77">
        <v>0</v>
      </c>
      <c r="AO277" s="77">
        <v>0</v>
      </c>
      <c r="AP277" s="77">
        <v>0</v>
      </c>
      <c r="AQ277" s="77">
        <v>0</v>
      </c>
      <c r="AR277" s="77">
        <v>1.6799999999999999E-2</v>
      </c>
      <c r="AS277" s="77">
        <v>0</v>
      </c>
      <c r="AT277" s="77">
        <v>5.0200000000000002E-2</v>
      </c>
      <c r="AU277" s="77">
        <v>4.0000000000000001E-3</v>
      </c>
      <c r="AV277" s="77">
        <v>0</v>
      </c>
      <c r="AW277" s="77"/>
      <c r="AX277" s="77"/>
      <c r="AY277" s="77">
        <v>0</v>
      </c>
      <c r="AZ277" s="77">
        <v>0</v>
      </c>
      <c r="BA277" s="77">
        <v>0</v>
      </c>
      <c r="BB277" s="77">
        <v>0</v>
      </c>
      <c r="BC277" s="77">
        <v>0</v>
      </c>
      <c r="BD277" s="77">
        <v>0</v>
      </c>
      <c r="BE277" s="77">
        <v>0</v>
      </c>
      <c r="BF277" s="77">
        <v>0</v>
      </c>
      <c r="BG277" s="77">
        <v>0</v>
      </c>
      <c r="BH277" s="77">
        <v>0</v>
      </c>
      <c r="BI277" s="77">
        <v>0</v>
      </c>
      <c r="BJ277" s="77">
        <v>0</v>
      </c>
      <c r="BK277" s="77">
        <v>0</v>
      </c>
      <c r="BL277" s="77">
        <v>0</v>
      </c>
      <c r="BM277" s="77">
        <f>SUM(G277:BL277)</f>
        <v>0.98120000000000007</v>
      </c>
      <c r="BS277" s="77"/>
    </row>
    <row r="278" spans="1:82" hidden="1">
      <c r="AS278" s="77"/>
    </row>
    <row r="279" spans="1:82" hidden="1">
      <c r="A279" t="s">
        <v>149</v>
      </c>
      <c r="B279" s="242">
        <f>16239.91+3052.22+1395.82+521.46+1642.26+500</f>
        <v>23351.67</v>
      </c>
      <c r="C279" s="242"/>
      <c r="D279" s="242"/>
      <c r="E279" s="94"/>
      <c r="F279" s="94"/>
      <c r="G279">
        <f>998+8435.52+4367.24+3052.22+1395.82+521.46+1642.26</f>
        <v>20412.519999999997</v>
      </c>
      <c r="AW279" s="94"/>
      <c r="AX279" s="94"/>
      <c r="BM279" s="77"/>
      <c r="BS279" s="77"/>
    </row>
    <row r="280" spans="1:82" hidden="1">
      <c r="A280" t="s">
        <v>150</v>
      </c>
      <c r="B280" s="242">
        <f>5025.76+100</f>
        <v>5125.76</v>
      </c>
      <c r="C280" s="242"/>
      <c r="D280" s="242"/>
      <c r="E280" s="94"/>
      <c r="F280" s="94"/>
      <c r="G280">
        <f>5025.76</f>
        <v>5025.76</v>
      </c>
      <c r="AW280" s="94"/>
      <c r="AX280" s="94"/>
    </row>
    <row r="281" spans="1:82" hidden="1">
      <c r="A281" t="s">
        <v>151</v>
      </c>
      <c r="B281" s="242">
        <f>10307.65</f>
        <v>10307.65</v>
      </c>
      <c r="C281" s="242"/>
      <c r="D281" s="242"/>
      <c r="E281" s="94"/>
      <c r="F281" s="94"/>
      <c r="G281">
        <v>10307.65</v>
      </c>
      <c r="AW281" s="94"/>
      <c r="AX281" s="94"/>
    </row>
    <row r="282" spans="1:82" hidden="1">
      <c r="A282" t="s">
        <v>152</v>
      </c>
      <c r="B282" s="242">
        <f>2253*1.13</f>
        <v>2545.89</v>
      </c>
      <c r="C282" s="242"/>
      <c r="D282" s="242"/>
      <c r="E282" s="94"/>
      <c r="F282" s="94"/>
      <c r="G282">
        <v>2500</v>
      </c>
      <c r="AW282" s="94"/>
      <c r="AX282" s="94"/>
    </row>
    <row r="283" spans="1:82" hidden="1">
      <c r="A283" t="s">
        <v>153</v>
      </c>
      <c r="B283" s="242">
        <f>5034.75+500</f>
        <v>5534.75</v>
      </c>
      <c r="C283" s="242"/>
      <c r="D283" s="242"/>
      <c r="E283" s="94"/>
      <c r="F283" s="94"/>
      <c r="G283">
        <f>2136.15+5034.75</f>
        <v>7170.9</v>
      </c>
      <c r="AW283" s="94"/>
      <c r="AX283" s="94"/>
    </row>
    <row r="284" spans="1:82" hidden="1">
      <c r="A284" s="23"/>
      <c r="E284" s="94"/>
      <c r="F284" s="94"/>
      <c r="AW284" s="94"/>
      <c r="AX284" s="94"/>
    </row>
    <row r="285" spans="1:82" hidden="1">
      <c r="BP285" s="130" t="s">
        <v>651</v>
      </c>
      <c r="BQ285" s="130" t="s">
        <v>652</v>
      </c>
      <c r="BR285" t="s">
        <v>653</v>
      </c>
    </row>
    <row r="286" spans="1:82" hidden="1">
      <c r="A286" t="s">
        <v>123</v>
      </c>
      <c r="B286" s="242">
        <v>608000</v>
      </c>
      <c r="C286" s="242"/>
      <c r="D286" s="242"/>
      <c r="E286" s="94"/>
      <c r="F286" s="94"/>
      <c r="G286" s="94">
        <v>78768.298137720703</v>
      </c>
      <c r="H286" s="94">
        <v>63363.051953783361</v>
      </c>
      <c r="I286" s="94">
        <v>12266.168489637181</v>
      </c>
      <c r="J286" s="94">
        <v>12332.580550585377</v>
      </c>
      <c r="K286" s="94">
        <v>6864.1374743247216</v>
      </c>
      <c r="L286" s="94">
        <v>17369.470743873291</v>
      </c>
      <c r="M286" s="94">
        <v>31293.081497034575</v>
      </c>
      <c r="N286" s="94">
        <v>68123.838421453256</v>
      </c>
      <c r="O286" s="94">
        <v>32346.684968557478</v>
      </c>
      <c r="P286" s="94">
        <v>5479.0894225654129</v>
      </c>
      <c r="Q286" s="94">
        <v>21518.979537617637</v>
      </c>
      <c r="R286" s="94">
        <v>39277.720169230939</v>
      </c>
      <c r="S286" s="94">
        <v>9623.980733516255</v>
      </c>
      <c r="T286" s="94">
        <v>2486.0893516377205</v>
      </c>
      <c r="U286" s="94">
        <v>11353.81349857766</v>
      </c>
      <c r="V286" s="94">
        <v>8102.040533419563</v>
      </c>
      <c r="W286" s="94">
        <v>9275.0012825380181</v>
      </c>
      <c r="X286" s="94">
        <v>22096.528407525228</v>
      </c>
      <c r="Y286" s="94">
        <v>4035.6464941011141</v>
      </c>
      <c r="Z286" s="94">
        <v>7596.6855031206333</v>
      </c>
      <c r="AA286" s="94">
        <v>3333.5557840244815</v>
      </c>
      <c r="AB286" s="94">
        <v>44579.787839315897</v>
      </c>
      <c r="AC286" s="94"/>
      <c r="AD286" s="94"/>
      <c r="AE286" s="94">
        <v>1345.3522820485864</v>
      </c>
      <c r="AF286" s="94">
        <v>492.06409161469747</v>
      </c>
      <c r="AG286" s="94">
        <v>57915.325470946285</v>
      </c>
      <c r="AH286" s="94">
        <v>20537.7887079875</v>
      </c>
      <c r="AI286" s="94">
        <v>4555.3060928045898</v>
      </c>
      <c r="AJ286" s="94">
        <v>1106.7534030705488</v>
      </c>
      <c r="AK286" s="94">
        <v>1158.2303055389464</v>
      </c>
      <c r="AL286" s="94">
        <v>1235.4456592415427</v>
      </c>
      <c r="AM286" s="94">
        <v>6514.3253174199363</v>
      </c>
      <c r="AN286" s="94">
        <v>1673.3759648667144</v>
      </c>
      <c r="AO286" s="94">
        <v>0</v>
      </c>
      <c r="AP286" s="94">
        <v>0</v>
      </c>
      <c r="AQ286" s="94">
        <v>0</v>
      </c>
      <c r="AR286" s="94">
        <v>25764.063119462193</v>
      </c>
      <c r="AS286" s="94">
        <v>7226.7098765696765</v>
      </c>
      <c r="AT286" s="94">
        <v>31900.485049203919</v>
      </c>
      <c r="AU286" s="94">
        <v>2752.9897974686232</v>
      </c>
      <c r="AV286" s="94">
        <v>0</v>
      </c>
      <c r="AW286" s="94"/>
      <c r="AX286" s="94"/>
      <c r="AY286" s="94">
        <v>0</v>
      </c>
      <c r="AZ286" s="94">
        <v>0</v>
      </c>
      <c r="BA286" s="94">
        <v>0</v>
      </c>
      <c r="BB286" s="94">
        <v>0</v>
      </c>
      <c r="BC286" s="94">
        <v>0</v>
      </c>
      <c r="BD286" s="94">
        <v>0</v>
      </c>
      <c r="BE286" s="94">
        <v>0</v>
      </c>
      <c r="BF286" s="94">
        <v>0</v>
      </c>
      <c r="BG286" s="94">
        <v>0</v>
      </c>
      <c r="BH286" s="94">
        <v>0</v>
      </c>
      <c r="BI286" s="94">
        <v>0</v>
      </c>
      <c r="BJ286" s="94">
        <v>0</v>
      </c>
      <c r="BK286" s="94">
        <v>0</v>
      </c>
      <c r="BL286" s="94">
        <v>0</v>
      </c>
      <c r="BM286" s="94">
        <f>SUM(G286:BL286)</f>
        <v>675664.44593240449</v>
      </c>
      <c r="BP286" s="77">
        <v>0.89029999999999998</v>
      </c>
      <c r="BQ286" s="94">
        <f>BM286*BP286</f>
        <v>601544.05621361965</v>
      </c>
      <c r="BR286" s="94">
        <f>BM286-BQ286</f>
        <v>74120.389718784834</v>
      </c>
      <c r="BS286" s="94"/>
    </row>
    <row r="287" spans="1:82" hidden="1">
      <c r="A287" t="s">
        <v>124</v>
      </c>
      <c r="B287" s="242">
        <v>6350</v>
      </c>
      <c r="C287" s="242"/>
      <c r="D287" s="242"/>
      <c r="E287" s="94"/>
      <c r="F287" s="94"/>
      <c r="G287" s="94">
        <v>947.31229997664286</v>
      </c>
      <c r="H287" s="94">
        <v>762.04005798029721</v>
      </c>
      <c r="I287" s="94">
        <v>147.5199104023128</v>
      </c>
      <c r="J287" s="94">
        <v>148.3186195745362</v>
      </c>
      <c r="K287" s="94">
        <v>82.552016634779818</v>
      </c>
      <c r="L287" s="94">
        <v>208.89512238777118</v>
      </c>
      <c r="M287" s="94">
        <v>376.34837500845055</v>
      </c>
      <c r="N287" s="94">
        <v>819.29598054067446</v>
      </c>
      <c r="O287" s="94">
        <v>389.01960888640798</v>
      </c>
      <c r="P287" s="94">
        <v>65.894641948377256</v>
      </c>
      <c r="Q287" s="94">
        <v>258.79947238784865</v>
      </c>
      <c r="R287" s="94">
        <v>472.37617558141415</v>
      </c>
      <c r="S287" s="94">
        <v>115.74345947728756</v>
      </c>
      <c r="T287" s="94">
        <v>29.899122836571149</v>
      </c>
      <c r="U287" s="94">
        <v>136.54741099062534</v>
      </c>
      <c r="V287" s="94">
        <v>97.439742049500708</v>
      </c>
      <c r="W287" s="94">
        <v>111.54643435211902</v>
      </c>
      <c r="X287" s="94">
        <v>265.74540319042194</v>
      </c>
      <c r="Y287" s="94">
        <v>48.534977301849665</v>
      </c>
      <c r="Z287" s="94">
        <v>91.362055373825399</v>
      </c>
      <c r="AA287" s="94">
        <v>40.091235579868432</v>
      </c>
      <c r="AB287" s="94">
        <v>536.14185337221943</v>
      </c>
      <c r="AC287" s="94"/>
      <c r="AD287" s="94"/>
      <c r="AE287" s="94">
        <v>16.179970809550241</v>
      </c>
      <c r="AF287" s="94">
        <v>5.9178422967629327</v>
      </c>
      <c r="AG287" s="94">
        <v>696.52260456170302</v>
      </c>
      <c r="AH287" s="94">
        <v>246.99911407735468</v>
      </c>
      <c r="AI287" s="94">
        <v>54.784698843275031</v>
      </c>
      <c r="AJ287" s="94">
        <v>13.31044514807993</v>
      </c>
      <c r="AK287" s="94">
        <v>13.929535620083648</v>
      </c>
      <c r="AL287" s="94">
        <v>14.858171328089224</v>
      </c>
      <c r="AM287" s="94">
        <v>78.344976915096325</v>
      </c>
      <c r="AN287" s="94">
        <v>20.124969962305091</v>
      </c>
      <c r="AO287" s="94">
        <v>0</v>
      </c>
      <c r="AP287" s="94">
        <v>0</v>
      </c>
      <c r="AQ287" s="94">
        <v>0</v>
      </c>
      <c r="AR287" s="94">
        <v>309.8532590835963</v>
      </c>
      <c r="AS287" s="94">
        <v>86.912518313744542</v>
      </c>
      <c r="AT287" s="94">
        <v>383.65335517970516</v>
      </c>
      <c r="AU287" s="94">
        <v>33.109019218524132</v>
      </c>
      <c r="AV287" s="94">
        <v>0</v>
      </c>
      <c r="AW287" s="94"/>
      <c r="AX287" s="94"/>
      <c r="AY287" s="94">
        <v>0</v>
      </c>
      <c r="AZ287" s="94">
        <v>0</v>
      </c>
      <c r="BA287" s="94">
        <v>0</v>
      </c>
      <c r="BB287" s="94">
        <v>0</v>
      </c>
      <c r="BC287" s="94">
        <v>0</v>
      </c>
      <c r="BD287" s="94">
        <v>0</v>
      </c>
      <c r="BE287" s="94">
        <v>0</v>
      </c>
      <c r="BF287" s="94">
        <v>0</v>
      </c>
      <c r="BG287" s="94">
        <v>0</v>
      </c>
      <c r="BH287" s="94">
        <v>0</v>
      </c>
      <c r="BI287" s="94">
        <v>0</v>
      </c>
      <c r="BJ287" s="94">
        <v>0</v>
      </c>
      <c r="BK287" s="94">
        <v>0</v>
      </c>
      <c r="BL287" s="94">
        <v>0</v>
      </c>
      <c r="BM287" s="94">
        <f>SUM(G287:BL287)</f>
        <v>8125.9244571916715</v>
      </c>
      <c r="BP287" s="77">
        <v>0.88829999999999998</v>
      </c>
      <c r="BQ287" s="94">
        <f>BM287*BP287</f>
        <v>7218.2586953233613</v>
      </c>
      <c r="BR287" s="94">
        <f>BM287-BQ287</f>
        <v>907.66576186831026</v>
      </c>
      <c r="BS287" s="94"/>
    </row>
    <row r="288" spans="1:82" hidden="1">
      <c r="A288" t="s">
        <v>125</v>
      </c>
      <c r="B288" s="242">
        <v>0</v>
      </c>
      <c r="C288" s="242"/>
      <c r="D288" s="242"/>
      <c r="E288" s="94"/>
      <c r="F288" s="94"/>
      <c r="G288" s="94">
        <v>552.37476072708546</v>
      </c>
      <c r="H288" s="94">
        <v>444.3431112439896</v>
      </c>
      <c r="I288" s="94">
        <v>86.018386136195801</v>
      </c>
      <c r="J288" s="94">
        <v>86.484110890227086</v>
      </c>
      <c r="K288" s="94">
        <v>48.135815862729956</v>
      </c>
      <c r="L288" s="94">
        <v>121.80607519700249</v>
      </c>
      <c r="M288" s="94">
        <v>219.44752918382454</v>
      </c>
      <c r="N288" s="94">
        <v>477.72885586619782</v>
      </c>
      <c r="O288" s="94">
        <v>226.83608497648794</v>
      </c>
      <c r="P288" s="94">
        <v>38.422954162348894</v>
      </c>
      <c r="Q288" s="94">
        <v>150.90514146185853</v>
      </c>
      <c r="R288" s="94">
        <v>275.44103139629124</v>
      </c>
      <c r="S288" s="94">
        <v>67.48963962155689</v>
      </c>
      <c r="T288" s="94">
        <v>17.434082533508683</v>
      </c>
      <c r="U288" s="94">
        <v>79.620356956950076</v>
      </c>
      <c r="V288" s="94">
        <v>56.81680075433303</v>
      </c>
      <c r="W288" s="94">
        <v>65.042367745811489</v>
      </c>
      <c r="X288" s="94">
        <v>154.95529141261176</v>
      </c>
      <c r="Y288" s="94">
        <v>28.300589440952844</v>
      </c>
      <c r="Z288" s="94">
        <v>53.27292116643671</v>
      </c>
      <c r="AA288" s="94">
        <v>23.37707075188305</v>
      </c>
      <c r="AB288" s="94">
        <v>312.62259339349629</v>
      </c>
      <c r="AC288" s="94"/>
      <c r="AD288" s="94"/>
      <c r="AE288" s="94">
        <v>9.4344890325153639</v>
      </c>
      <c r="AF288" s="94">
        <v>3.4506748437401784</v>
      </c>
      <c r="AG288" s="94">
        <v>406.1400945023762</v>
      </c>
      <c r="AH288" s="94">
        <v>144.02439041659744</v>
      </c>
      <c r="AI288" s="94">
        <v>31.944782006742255</v>
      </c>
      <c r="AJ288" s="94">
        <v>7.7612778320548861</v>
      </c>
      <c r="AK288" s="94">
        <v>8.1222674986620902</v>
      </c>
      <c r="AL288" s="94">
        <v>8.6637519985728968</v>
      </c>
      <c r="AM288" s="94">
        <v>45.682704509075187</v>
      </c>
      <c r="AN288" s="94">
        <v>11.734805372887218</v>
      </c>
      <c r="AO288" s="94">
        <v>0</v>
      </c>
      <c r="AP288" s="94">
        <v>0</v>
      </c>
      <c r="AQ288" s="94">
        <v>0</v>
      </c>
      <c r="AR288" s="94">
        <v>180.67444057364099</v>
      </c>
      <c r="AS288" s="94">
        <v>50.678410392144997</v>
      </c>
      <c r="AT288" s="94">
        <v>223.70703966871153</v>
      </c>
      <c r="AU288" s="94">
        <v>19.305762808306902</v>
      </c>
      <c r="AV288" s="94">
        <v>0</v>
      </c>
      <c r="AW288" s="94"/>
      <c r="AX288" s="94"/>
      <c r="AY288" s="94">
        <v>0</v>
      </c>
      <c r="AZ288" s="94">
        <v>0</v>
      </c>
      <c r="BA288" s="94">
        <v>0</v>
      </c>
      <c r="BB288" s="94">
        <v>0</v>
      </c>
      <c r="BC288" s="94">
        <v>0</v>
      </c>
      <c r="BD288" s="94">
        <v>0</v>
      </c>
      <c r="BE288" s="94">
        <v>0</v>
      </c>
      <c r="BF288" s="94">
        <v>0</v>
      </c>
      <c r="BG288" s="94">
        <v>0</v>
      </c>
      <c r="BH288" s="94">
        <v>0</v>
      </c>
      <c r="BI288" s="94">
        <v>0</v>
      </c>
      <c r="BJ288" s="94">
        <v>0</v>
      </c>
      <c r="BK288" s="94">
        <v>0</v>
      </c>
      <c r="BL288" s="94">
        <v>0</v>
      </c>
      <c r="BM288" s="94">
        <f>SUM(G288:BL288)</f>
        <v>4738.2004623378089</v>
      </c>
      <c r="BP288" s="77">
        <v>0.67559999999999998</v>
      </c>
      <c r="BQ288" s="94">
        <f>BM288*BP288</f>
        <v>3201.1282323554237</v>
      </c>
      <c r="BR288" s="94">
        <f>BM288-BQ288</f>
        <v>1537.0722299823851</v>
      </c>
      <c r="BS288" s="94"/>
    </row>
    <row r="289" spans="1:71" hidden="1">
      <c r="A289" t="s">
        <v>126</v>
      </c>
      <c r="B289" s="242">
        <v>7700</v>
      </c>
      <c r="C289" s="242"/>
      <c r="D289" s="242"/>
      <c r="E289" s="94"/>
      <c r="F289" s="94"/>
      <c r="G289" s="94">
        <v>1474.8981082698192</v>
      </c>
      <c r="H289" s="94">
        <v>1186.4423590495717</v>
      </c>
      <c r="I289" s="94">
        <v>229.67804470592114</v>
      </c>
      <c r="J289" s="94">
        <v>230.921578276845</v>
      </c>
      <c r="K289" s="94">
        <v>128.52763884887531</v>
      </c>
      <c r="L289" s="94">
        <v>325.23489966731415</v>
      </c>
      <c r="M289" s="94">
        <v>585.9477453887913</v>
      </c>
      <c r="N289" s="94">
        <v>1275.5857723395984</v>
      </c>
      <c r="O289" s="94">
        <v>605.6759584358557</v>
      </c>
      <c r="P289" s="94">
        <v>102.59328708935266</v>
      </c>
      <c r="Q289" s="94">
        <v>402.93243553944842</v>
      </c>
      <c r="R289" s="94">
        <v>735.45622470428998</v>
      </c>
      <c r="S289" s="94">
        <v>180.2043628398628</v>
      </c>
      <c r="T289" s="94">
        <v>46.550815091995567</v>
      </c>
      <c r="U289" s="94">
        <v>212.59464082138533</v>
      </c>
      <c r="V289" s="94">
        <v>151.70677212008243</v>
      </c>
      <c r="W289" s="94">
        <v>173.66989219314513</v>
      </c>
      <c r="X289" s="94">
        <v>413.74675749129153</v>
      </c>
      <c r="Y289" s="94">
        <v>75.565519638224558</v>
      </c>
      <c r="Z289" s="94">
        <v>142.24424473515225</v>
      </c>
      <c r="AA289" s="94">
        <v>62.419212245429044</v>
      </c>
      <c r="AB289" s="94">
        <v>834.7348654952101</v>
      </c>
      <c r="AC289" s="94"/>
      <c r="AD289" s="94"/>
      <c r="AE289" s="94">
        <v>25.1910677602887</v>
      </c>
      <c r="AF289" s="94">
        <v>9.213661016277289</v>
      </c>
      <c r="AG289" s="94">
        <v>1084.4363277670443</v>
      </c>
      <c r="AH289" s="94">
        <v>384.56011402574836</v>
      </c>
      <c r="AI289" s="94">
        <v>85.295893115787024</v>
      </c>
      <c r="AJ289" s="94">
        <v>20.723419689173593</v>
      </c>
      <c r="AK289" s="94">
        <v>21.687299674716552</v>
      </c>
      <c r="AL289" s="94">
        <v>23.133119653030985</v>
      </c>
      <c r="AM289" s="94">
        <v>121.97757618830376</v>
      </c>
      <c r="AN289" s="94">
        <v>31.333151830840329</v>
      </c>
      <c r="AO289" s="94">
        <v>0</v>
      </c>
      <c r="AP289" s="94">
        <v>0</v>
      </c>
      <c r="AQ289" s="94">
        <v>0</v>
      </c>
      <c r="AR289" s="94">
        <v>482.41956287794665</v>
      </c>
      <c r="AS289" s="94">
        <v>135.31663090310181</v>
      </c>
      <c r="AT289" s="94">
        <v>597.32108175927613</v>
      </c>
      <c r="AU289" s="94">
        <v>51.548396250396365</v>
      </c>
      <c r="AV289" s="94">
        <v>0</v>
      </c>
      <c r="AW289" s="94"/>
      <c r="AX289" s="94"/>
      <c r="AY289" s="94">
        <v>0</v>
      </c>
      <c r="AZ289" s="94">
        <v>0</v>
      </c>
      <c r="BA289" s="94">
        <v>0</v>
      </c>
      <c r="BB289" s="94">
        <v>0</v>
      </c>
      <c r="BC289" s="94">
        <v>0</v>
      </c>
      <c r="BD289" s="94">
        <v>0</v>
      </c>
      <c r="BE289" s="94">
        <v>0</v>
      </c>
      <c r="BF289" s="94">
        <v>0</v>
      </c>
      <c r="BG289" s="94">
        <v>0</v>
      </c>
      <c r="BH289" s="94">
        <v>0</v>
      </c>
      <c r="BI289" s="94">
        <v>0</v>
      </c>
      <c r="BJ289" s="94">
        <v>0</v>
      </c>
      <c r="BK289" s="94">
        <v>0</v>
      </c>
      <c r="BL289" s="94">
        <v>0</v>
      </c>
      <c r="BM289" s="94">
        <f>SUM(G289:BL289)</f>
        <v>12651.488437499391</v>
      </c>
      <c r="BP289" s="77">
        <v>0.7298</v>
      </c>
      <c r="BQ289" s="94">
        <f>BM289*BP289</f>
        <v>9233.0562616870557</v>
      </c>
      <c r="BR289" s="94">
        <f>BM289-BQ289</f>
        <v>3418.4321758123351</v>
      </c>
      <c r="BS289" s="94"/>
    </row>
    <row r="290" spans="1:71" hidden="1">
      <c r="A290" t="s">
        <v>129</v>
      </c>
      <c r="B290" s="242">
        <v>0</v>
      </c>
      <c r="C290" s="242"/>
      <c r="D290" s="242"/>
      <c r="E290" s="94"/>
      <c r="F290" s="94"/>
      <c r="G290" s="94">
        <v>1633.5041154861422</v>
      </c>
      <c r="H290" s="94">
        <v>1314.028722003088</v>
      </c>
      <c r="I290" s="94">
        <v>254.37691536810661</v>
      </c>
      <c r="J290" s="94">
        <v>255.75417471535209</v>
      </c>
      <c r="K290" s="94">
        <v>142.3491059051151</v>
      </c>
      <c r="L290" s="94">
        <v>360.20966067242983</v>
      </c>
      <c r="M290" s="94">
        <v>648.95876412454868</v>
      </c>
      <c r="N290" s="94">
        <v>1412.758343840193</v>
      </c>
      <c r="O290" s="94">
        <v>670.80848853796681</v>
      </c>
      <c r="P290" s="94">
        <v>113.62585370612628</v>
      </c>
      <c r="Q290" s="94">
        <v>446.26255063046938</v>
      </c>
      <c r="R290" s="94">
        <v>814.54492556348089</v>
      </c>
      <c r="S290" s="94">
        <v>199.58298588692918</v>
      </c>
      <c r="T290" s="94">
        <v>51.556746602117258</v>
      </c>
      <c r="U290" s="94">
        <v>235.45641476170397</v>
      </c>
      <c r="V290" s="94">
        <v>168.02085189191777</v>
      </c>
      <c r="W290" s="94">
        <v>192.34581836051728</v>
      </c>
      <c r="X290" s="94">
        <v>458.23981151071467</v>
      </c>
      <c r="Y290" s="94">
        <v>83.691603254336215</v>
      </c>
      <c r="Z290" s="94">
        <v>157.54075340951056</v>
      </c>
      <c r="AA290" s="94">
        <v>69.131582389729601</v>
      </c>
      <c r="AB290" s="94">
        <v>924.49968610085796</v>
      </c>
      <c r="AC290" s="94"/>
      <c r="AD290" s="94"/>
      <c r="AE290" s="94">
        <v>27.900037724093345</v>
      </c>
      <c r="AF290" s="94">
        <v>10.204469789739415</v>
      </c>
      <c r="AG290" s="94">
        <v>1201.0532757874271</v>
      </c>
      <c r="AH290" s="94">
        <v>425.91452615651474</v>
      </c>
      <c r="AI290" s="94">
        <v>94.46835117454421</v>
      </c>
      <c r="AJ290" s="94">
        <v>22.951952517535357</v>
      </c>
      <c r="AK290" s="94">
        <v>24.019485192769562</v>
      </c>
      <c r="AL290" s="94">
        <v>25.620784205620865</v>
      </c>
      <c r="AM290" s="94">
        <v>135.09466964762527</v>
      </c>
      <c r="AN290" s="94">
        <v>34.702622628536446</v>
      </c>
      <c r="AO290" s="94">
        <v>0</v>
      </c>
      <c r="AP290" s="94">
        <v>0</v>
      </c>
      <c r="AQ290" s="94">
        <v>0</v>
      </c>
      <c r="AR290" s="94">
        <v>534.29747921812907</v>
      </c>
      <c r="AS290" s="94">
        <v>149.8681652885399</v>
      </c>
      <c r="AT290" s="94">
        <v>661.55515411503382</v>
      </c>
      <c r="AU290" s="94">
        <v>57.091752270610705</v>
      </c>
      <c r="AV290" s="94">
        <v>0</v>
      </c>
      <c r="AW290" s="94"/>
      <c r="AX290" s="94"/>
      <c r="AY290" s="94">
        <v>0</v>
      </c>
      <c r="AZ290" s="94">
        <v>0</v>
      </c>
      <c r="BA290" s="94">
        <v>0</v>
      </c>
      <c r="BB290" s="94">
        <v>0</v>
      </c>
      <c r="BC290" s="94">
        <v>0</v>
      </c>
      <c r="BD290" s="94">
        <v>0</v>
      </c>
      <c r="BE290" s="94">
        <v>0</v>
      </c>
      <c r="BF290" s="94">
        <v>0</v>
      </c>
      <c r="BG290" s="94">
        <v>0</v>
      </c>
      <c r="BH290" s="94">
        <v>0</v>
      </c>
      <c r="BI290" s="94">
        <v>0</v>
      </c>
      <c r="BJ290" s="94">
        <v>0</v>
      </c>
      <c r="BK290" s="94">
        <v>0</v>
      </c>
      <c r="BL290" s="94">
        <v>0</v>
      </c>
      <c r="BM290" s="94">
        <f>SUM(G290:BL290)</f>
        <v>14011.990600438075</v>
      </c>
      <c r="BP290" s="77">
        <v>0.68359999999999999</v>
      </c>
      <c r="BQ290" s="94">
        <f>BM290*BP290</f>
        <v>9578.5967744594691</v>
      </c>
      <c r="BR290" s="94">
        <f>BM290-BQ290</f>
        <v>4433.3938259786064</v>
      </c>
      <c r="BS290" s="94"/>
    </row>
    <row r="291" spans="1:71" hidden="1">
      <c r="A291" s="272" t="s">
        <v>128</v>
      </c>
      <c r="B291" s="242">
        <v>5351</v>
      </c>
      <c r="C291" s="242"/>
      <c r="D291" s="242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  <c r="AA291" s="94"/>
      <c r="AB291" s="94"/>
      <c r="AC291" s="94"/>
      <c r="AD291" s="94"/>
      <c r="AE291" s="94"/>
      <c r="AF291" s="94"/>
      <c r="AG291" s="94"/>
      <c r="AH291" s="94"/>
      <c r="AI291" s="94"/>
      <c r="AJ291" s="94"/>
      <c r="AK291" s="94"/>
      <c r="AL291" s="94"/>
      <c r="AM291" s="94"/>
      <c r="AN291" s="94"/>
      <c r="AO291" s="94"/>
      <c r="AP291" s="94"/>
      <c r="AQ291" s="94"/>
      <c r="AR291" s="94"/>
      <c r="AS291" s="94"/>
      <c r="AT291" s="94"/>
      <c r="AU291" s="94"/>
      <c r="AV291" s="94"/>
      <c r="AW291" s="94"/>
      <c r="AX291" s="94"/>
      <c r="AY291" s="94"/>
      <c r="AZ291" s="94"/>
      <c r="BA291" s="94"/>
      <c r="BB291" s="94"/>
      <c r="BC291" s="94"/>
      <c r="BD291" s="94"/>
      <c r="BE291" s="94"/>
      <c r="BF291" s="94"/>
      <c r="BG291" s="94"/>
      <c r="BH291" s="94"/>
      <c r="BI291" s="94"/>
      <c r="BJ291" s="94"/>
      <c r="BK291" s="94"/>
      <c r="BL291" s="94"/>
      <c r="BM291" s="94"/>
      <c r="BP291" s="77"/>
      <c r="BQ291" s="94"/>
      <c r="BR291" s="94"/>
      <c r="BS291" s="94"/>
    </row>
    <row r="292" spans="1:71" hidden="1">
      <c r="A292" s="23" t="s">
        <v>654</v>
      </c>
      <c r="B292" s="242">
        <v>340000</v>
      </c>
      <c r="C292" s="242"/>
      <c r="D292" s="242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  <c r="AA292" s="94"/>
      <c r="AB292" s="94"/>
      <c r="AC292" s="94"/>
      <c r="AD292" s="94"/>
      <c r="AE292" s="94"/>
      <c r="AF292" s="94"/>
      <c r="AG292" s="94"/>
      <c r="AH292" s="94"/>
      <c r="AI292" s="94"/>
      <c r="AJ292" s="94"/>
      <c r="AK292" s="94"/>
      <c r="AL292" s="94"/>
      <c r="AM292" s="94"/>
      <c r="AN292" s="94"/>
      <c r="AO292" s="94"/>
      <c r="AP292" s="94"/>
      <c r="AQ292" s="94"/>
      <c r="AR292" s="94"/>
      <c r="AS292" s="94"/>
      <c r="AT292" s="94"/>
      <c r="AU292" s="94"/>
      <c r="AV292" s="94"/>
      <c r="AW292" s="94"/>
      <c r="AX292" s="94"/>
      <c r="AY292" s="94"/>
      <c r="AZ292" s="94"/>
      <c r="BA292" s="94"/>
      <c r="BB292" s="94"/>
      <c r="BC292" s="94"/>
      <c r="BD292" s="94"/>
      <c r="BE292" s="94"/>
      <c r="BF292" s="94"/>
      <c r="BG292" s="94"/>
      <c r="BH292" s="94"/>
      <c r="BI292" s="94"/>
      <c r="BJ292" s="94"/>
      <c r="BK292" s="94"/>
      <c r="BL292" s="94"/>
      <c r="BM292" s="94"/>
      <c r="BP292" s="77"/>
      <c r="BQ292" s="94"/>
      <c r="BR292" s="94"/>
      <c r="BS292" s="94"/>
    </row>
    <row r="293" spans="1:71" hidden="1">
      <c r="A293" s="272" t="s">
        <v>131</v>
      </c>
      <c r="B293" s="242">
        <v>18000</v>
      </c>
      <c r="C293" s="242"/>
      <c r="D293" s="242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  <c r="AA293" s="94"/>
      <c r="AB293" s="94"/>
      <c r="AC293" s="94"/>
      <c r="AD293" s="94"/>
      <c r="AE293" s="94"/>
      <c r="AF293" s="94"/>
      <c r="AG293" s="94"/>
      <c r="AH293" s="94"/>
      <c r="AI293" s="94"/>
      <c r="AJ293" s="94"/>
      <c r="AK293" s="94"/>
      <c r="AL293" s="94"/>
      <c r="AM293" s="94"/>
      <c r="AN293" s="94"/>
      <c r="AO293" s="94"/>
      <c r="AP293" s="94"/>
      <c r="AQ293" s="94"/>
      <c r="AR293" s="94"/>
      <c r="AS293" s="94"/>
      <c r="AT293" s="94"/>
      <c r="AU293" s="94"/>
      <c r="AV293" s="94"/>
      <c r="AW293" s="94"/>
      <c r="AX293" s="94"/>
      <c r="AY293" s="94"/>
      <c r="AZ293" s="94"/>
      <c r="BA293" s="94"/>
      <c r="BB293" s="94"/>
      <c r="BC293" s="94"/>
      <c r="BD293" s="94"/>
      <c r="BE293" s="94"/>
      <c r="BF293" s="94"/>
      <c r="BG293" s="94"/>
      <c r="BH293" s="94"/>
      <c r="BI293" s="94"/>
      <c r="BJ293" s="94"/>
      <c r="BK293" s="94"/>
      <c r="BL293" s="94"/>
      <c r="BM293" s="94"/>
      <c r="BP293" s="77"/>
      <c r="BQ293" s="94"/>
      <c r="BR293" s="94"/>
      <c r="BS293" s="94"/>
    </row>
    <row r="294" spans="1:71" hidden="1"/>
    <row r="295" spans="1:71" hidden="1">
      <c r="A295" t="s">
        <v>123</v>
      </c>
      <c r="E295" s="77"/>
      <c r="F295" s="77"/>
      <c r="G295" s="77">
        <f t="shared" ref="G295:AB295" si="477">G286/$BM$286</f>
        <v>0.11657901878945533</v>
      </c>
      <c r="H295" s="77">
        <f t="shared" si="477"/>
        <v>9.3778875498389619E-2</v>
      </c>
      <c r="I295" s="77">
        <f t="shared" si="477"/>
        <v>1.8154231088347551E-2</v>
      </c>
      <c r="J295" s="77">
        <f t="shared" si="477"/>
        <v>1.8252522572157311E-2</v>
      </c>
      <c r="K295" s="77">
        <f t="shared" si="477"/>
        <v>1.0159092306318321E-2</v>
      </c>
      <c r="L295" s="77">
        <f t="shared" si="477"/>
        <v>2.5707243955842226E-2</v>
      </c>
      <c r="M295" s="77">
        <f t="shared" si="477"/>
        <v>4.6314530364034025E-2</v>
      </c>
      <c r="N295" s="77">
        <f t="shared" si="477"/>
        <v>0.10082495657654979</v>
      </c>
      <c r="O295" s="77">
        <f t="shared" si="477"/>
        <v>4.787388941846666E-2</v>
      </c>
      <c r="P295" s="77">
        <f t="shared" si="477"/>
        <v>8.1091871202492692E-3</v>
      </c>
      <c r="Q295" s="77">
        <f t="shared" si="477"/>
        <v>3.1848619040360841E-2</v>
      </c>
      <c r="R295" s="77">
        <f t="shared" si="477"/>
        <v>5.8131992005333963E-2</v>
      </c>
      <c r="S295" s="77">
        <f t="shared" si="477"/>
        <v>1.4243728216652481E-2</v>
      </c>
      <c r="T295" s="77">
        <f t="shared" si="477"/>
        <v>3.6794733933453653E-3</v>
      </c>
      <c r="U295" s="77">
        <f t="shared" si="477"/>
        <v>1.680392325943628E-2</v>
      </c>
      <c r="V295" s="77">
        <f t="shared" si="477"/>
        <v>1.199121928376577E-2</v>
      </c>
      <c r="W295" s="77">
        <f t="shared" si="477"/>
        <v>1.3727230044994727E-2</v>
      </c>
      <c r="X295" s="77">
        <f t="shared" si="477"/>
        <v>3.2703405574393406E-2</v>
      </c>
      <c r="Y295" s="77">
        <f t="shared" si="477"/>
        <v>5.972856080257407E-3</v>
      </c>
      <c r="Z295" s="77">
        <f t="shared" si="477"/>
        <v>1.1243281408180872E-2</v>
      </c>
      <c r="AA295" s="77">
        <f t="shared" si="477"/>
        <v>4.9337445592896869E-3</v>
      </c>
      <c r="AB295" s="77">
        <f t="shared" si="477"/>
        <v>6.5979182577524276E-2</v>
      </c>
      <c r="AC295" s="77"/>
      <c r="AD295" s="77"/>
      <c r="AE295" s="77">
        <f t="shared" ref="AE295:AV295" si="478">AE286/$BM$286</f>
        <v>1.9911544704591124E-3</v>
      </c>
      <c r="AF295" s="77">
        <f t="shared" si="478"/>
        <v>7.2826695940121297E-4</v>
      </c>
      <c r="AG295" s="77">
        <f t="shared" si="478"/>
        <v>8.5716106300405076E-2</v>
      </c>
      <c r="AH295" s="77">
        <f t="shared" si="478"/>
        <v>3.0396432477138455E-2</v>
      </c>
      <c r="AI295" s="77">
        <f t="shared" si="478"/>
        <v>6.7419650689453572E-3</v>
      </c>
      <c r="AJ295" s="77">
        <f t="shared" si="478"/>
        <v>1.63802226050721E-3</v>
      </c>
      <c r="AK295" s="77">
        <f t="shared" si="478"/>
        <v>1.7142093423912663E-3</v>
      </c>
      <c r="AL295" s="77">
        <f t="shared" si="478"/>
        <v>1.8284899652173505E-3</v>
      </c>
      <c r="AM295" s="77">
        <f t="shared" si="478"/>
        <v>9.641361709406342E-3</v>
      </c>
      <c r="AN295" s="77">
        <f t="shared" si="478"/>
        <v>2.4766375897691145E-3</v>
      </c>
      <c r="AO295" s="77">
        <f t="shared" si="478"/>
        <v>0</v>
      </c>
      <c r="AP295" s="77">
        <f t="shared" si="478"/>
        <v>0</v>
      </c>
      <c r="AQ295" s="77">
        <f t="shared" si="478"/>
        <v>0</v>
      </c>
      <c r="AR295" s="77">
        <f t="shared" si="478"/>
        <v>3.813144716222009E-2</v>
      </c>
      <c r="AS295" s="77">
        <f t="shared" si="478"/>
        <v>1.0695708380210757E-2</v>
      </c>
      <c r="AT295" s="77">
        <f t="shared" si="478"/>
        <v>4.7213502562180605E-2</v>
      </c>
      <c r="AU295" s="77">
        <f t="shared" si="478"/>
        <v>4.0744926184025382E-3</v>
      </c>
      <c r="AV295" s="77">
        <f t="shared" si="478"/>
        <v>0</v>
      </c>
      <c r="AW295" s="77"/>
      <c r="AX295" s="77"/>
      <c r="AY295" s="77">
        <f t="shared" ref="AY295:BL295" si="479">AY286/$BM$286</f>
        <v>0</v>
      </c>
      <c r="AZ295" s="77">
        <f t="shared" si="479"/>
        <v>0</v>
      </c>
      <c r="BA295" s="77">
        <f t="shared" si="479"/>
        <v>0</v>
      </c>
      <c r="BB295" s="77">
        <f t="shared" si="479"/>
        <v>0</v>
      </c>
      <c r="BC295" s="77">
        <f t="shared" si="479"/>
        <v>0</v>
      </c>
      <c r="BD295" s="77">
        <f t="shared" si="479"/>
        <v>0</v>
      </c>
      <c r="BE295" s="77">
        <f t="shared" si="479"/>
        <v>0</v>
      </c>
      <c r="BF295" s="77">
        <f t="shared" si="479"/>
        <v>0</v>
      </c>
      <c r="BG295" s="77">
        <f t="shared" si="479"/>
        <v>0</v>
      </c>
      <c r="BH295" s="77">
        <f t="shared" si="479"/>
        <v>0</v>
      </c>
      <c r="BI295" s="77">
        <f t="shared" si="479"/>
        <v>0</v>
      </c>
      <c r="BJ295" s="77">
        <f t="shared" si="479"/>
        <v>0</v>
      </c>
      <c r="BK295" s="77">
        <f t="shared" si="479"/>
        <v>0</v>
      </c>
      <c r="BL295" s="77">
        <f t="shared" si="479"/>
        <v>0</v>
      </c>
      <c r="BM295" s="77">
        <f>SUM(G295:BL295)</f>
        <v>0.99999999999999944</v>
      </c>
      <c r="BP295" s="77">
        <v>0.89029999999999998</v>
      </c>
      <c r="BQ295" s="94">
        <f>BM295*BP295</f>
        <v>0.89029999999999954</v>
      </c>
      <c r="BR295" s="94">
        <f>BM295-BQ295</f>
        <v>0.10969999999999991</v>
      </c>
      <c r="BS295" s="77"/>
    </row>
    <row r="296" spans="1:71" hidden="1">
      <c r="A296" t="s">
        <v>124</v>
      </c>
      <c r="E296" s="77"/>
      <c r="F296" s="77"/>
      <c r="G296" s="77">
        <f t="shared" ref="G296:AB296" si="480">G287/$BM$287</f>
        <v>0.11657901878945538</v>
      </c>
      <c r="H296" s="77">
        <f t="shared" si="480"/>
        <v>9.3778875498389647E-2</v>
      </c>
      <c r="I296" s="77">
        <f t="shared" si="480"/>
        <v>1.8154231088347558E-2</v>
      </c>
      <c r="J296" s="77">
        <f t="shared" si="480"/>
        <v>1.8252522572157318E-2</v>
      </c>
      <c r="K296" s="77">
        <f t="shared" si="480"/>
        <v>1.0159092306318325E-2</v>
      </c>
      <c r="L296" s="77">
        <f t="shared" si="480"/>
        <v>2.5707243955842233E-2</v>
      </c>
      <c r="M296" s="77">
        <f t="shared" si="480"/>
        <v>4.6314530364034046E-2</v>
      </c>
      <c r="N296" s="77">
        <f t="shared" si="480"/>
        <v>0.10082495657654982</v>
      </c>
      <c r="O296" s="77">
        <f t="shared" si="480"/>
        <v>4.7873889418466681E-2</v>
      </c>
      <c r="P296" s="77">
        <f t="shared" si="480"/>
        <v>8.1091871202492709E-3</v>
      </c>
      <c r="Q296" s="77">
        <f t="shared" si="480"/>
        <v>3.1848619040360862E-2</v>
      </c>
      <c r="R296" s="77">
        <f t="shared" si="480"/>
        <v>5.8131992005333984E-2</v>
      </c>
      <c r="S296" s="77">
        <f t="shared" si="480"/>
        <v>1.4243728216652487E-2</v>
      </c>
      <c r="T296" s="77">
        <f t="shared" si="480"/>
        <v>3.6794733933453671E-3</v>
      </c>
      <c r="U296" s="77">
        <f t="shared" si="480"/>
        <v>1.680392325943629E-2</v>
      </c>
      <c r="V296" s="77">
        <f t="shared" si="480"/>
        <v>1.1991219283765776E-2</v>
      </c>
      <c r="W296" s="77">
        <f t="shared" si="480"/>
        <v>1.3727230044994732E-2</v>
      </c>
      <c r="X296" s="77">
        <f t="shared" si="480"/>
        <v>3.270340557439342E-2</v>
      </c>
      <c r="Y296" s="77">
        <f t="shared" si="480"/>
        <v>5.9728560802574096E-3</v>
      </c>
      <c r="Z296" s="77">
        <f t="shared" si="480"/>
        <v>1.1243281408180877E-2</v>
      </c>
      <c r="AA296" s="77">
        <f t="shared" si="480"/>
        <v>4.9337445592896895E-3</v>
      </c>
      <c r="AB296" s="77">
        <f t="shared" si="480"/>
        <v>6.5979182577524317E-2</v>
      </c>
      <c r="AC296" s="77"/>
      <c r="AD296" s="77"/>
      <c r="AE296" s="77">
        <f t="shared" ref="AE296:AV296" si="481">AE287/$BM$287</f>
        <v>1.9911544704591133E-3</v>
      </c>
      <c r="AF296" s="77">
        <f t="shared" si="481"/>
        <v>7.2826695940121319E-4</v>
      </c>
      <c r="AG296" s="77">
        <f t="shared" si="481"/>
        <v>8.5716106300405118E-2</v>
      </c>
      <c r="AH296" s="77">
        <f t="shared" si="481"/>
        <v>3.0396432477138465E-2</v>
      </c>
      <c r="AI296" s="77">
        <f t="shared" si="481"/>
        <v>6.7419650689453598E-3</v>
      </c>
      <c r="AJ296" s="77">
        <f t="shared" si="481"/>
        <v>1.6380222605072107E-3</v>
      </c>
      <c r="AK296" s="77">
        <f t="shared" si="481"/>
        <v>1.714209342391267E-3</v>
      </c>
      <c r="AL296" s="77">
        <f t="shared" si="481"/>
        <v>1.8284899652173513E-3</v>
      </c>
      <c r="AM296" s="77">
        <f t="shared" si="481"/>
        <v>9.6413617094063455E-3</v>
      </c>
      <c r="AN296" s="77">
        <f t="shared" si="481"/>
        <v>2.4766375897691158E-3</v>
      </c>
      <c r="AO296" s="77">
        <f t="shared" si="481"/>
        <v>0</v>
      </c>
      <c r="AP296" s="77">
        <f t="shared" si="481"/>
        <v>0</v>
      </c>
      <c r="AQ296" s="77">
        <f t="shared" si="481"/>
        <v>0</v>
      </c>
      <c r="AR296" s="77">
        <f t="shared" si="481"/>
        <v>3.8131447162220104E-2</v>
      </c>
      <c r="AS296" s="77">
        <f t="shared" si="481"/>
        <v>1.069570838021076E-2</v>
      </c>
      <c r="AT296" s="77">
        <f t="shared" si="481"/>
        <v>4.7213502562180619E-2</v>
      </c>
      <c r="AU296" s="77">
        <f t="shared" si="481"/>
        <v>4.07449261840254E-3</v>
      </c>
      <c r="AV296" s="77">
        <f t="shared" si="481"/>
        <v>0</v>
      </c>
      <c r="AW296" s="77"/>
      <c r="AX296" s="77"/>
      <c r="AY296" s="77">
        <f t="shared" ref="AY296:BL296" si="482">AY287/$BM$287</f>
        <v>0</v>
      </c>
      <c r="AZ296" s="77">
        <f t="shared" si="482"/>
        <v>0</v>
      </c>
      <c r="BA296" s="77">
        <f t="shared" si="482"/>
        <v>0</v>
      </c>
      <c r="BB296" s="77">
        <f t="shared" si="482"/>
        <v>0</v>
      </c>
      <c r="BC296" s="77">
        <f t="shared" si="482"/>
        <v>0</v>
      </c>
      <c r="BD296" s="77">
        <f t="shared" si="482"/>
        <v>0</v>
      </c>
      <c r="BE296" s="77">
        <f t="shared" si="482"/>
        <v>0</v>
      </c>
      <c r="BF296" s="77">
        <f t="shared" si="482"/>
        <v>0</v>
      </c>
      <c r="BG296" s="77">
        <f t="shared" si="482"/>
        <v>0</v>
      </c>
      <c r="BH296" s="77">
        <f t="shared" si="482"/>
        <v>0</v>
      </c>
      <c r="BI296" s="77">
        <f t="shared" si="482"/>
        <v>0</v>
      </c>
      <c r="BJ296" s="77">
        <f t="shared" si="482"/>
        <v>0</v>
      </c>
      <c r="BK296" s="77">
        <f t="shared" si="482"/>
        <v>0</v>
      </c>
      <c r="BL296" s="77">
        <f t="shared" si="482"/>
        <v>0</v>
      </c>
      <c r="BM296" s="77">
        <f>SUM(G296:BL296)</f>
        <v>1.0000000000000004</v>
      </c>
      <c r="BP296" s="77">
        <v>0.88829999999999998</v>
      </c>
      <c r="BQ296" s="94">
        <f>BM296*BP296</f>
        <v>0.88830000000000042</v>
      </c>
      <c r="BR296" s="94">
        <f>BM296-BQ296</f>
        <v>0.11170000000000002</v>
      </c>
      <c r="BS296" s="77"/>
    </row>
    <row r="297" spans="1:71" hidden="1">
      <c r="A297" t="s">
        <v>125</v>
      </c>
      <c r="E297" s="77"/>
      <c r="F297" s="77"/>
      <c r="G297" s="77">
        <f t="shared" ref="G297:AB297" si="483">G288/$BM$288</f>
        <v>0.11657901878945535</v>
      </c>
      <c r="H297" s="77">
        <f t="shared" si="483"/>
        <v>9.3778875498389633E-2</v>
      </c>
      <c r="I297" s="77">
        <f t="shared" si="483"/>
        <v>1.8154231088347555E-2</v>
      </c>
      <c r="J297" s="77">
        <f t="shared" si="483"/>
        <v>1.8252522572157315E-2</v>
      </c>
      <c r="K297" s="77">
        <f t="shared" si="483"/>
        <v>1.0159092306318323E-2</v>
      </c>
      <c r="L297" s="77">
        <f t="shared" si="483"/>
        <v>2.5707243955842226E-2</v>
      </c>
      <c r="M297" s="77">
        <f t="shared" si="483"/>
        <v>4.6314530364034032E-2</v>
      </c>
      <c r="N297" s="77">
        <f t="shared" si="483"/>
        <v>0.10082495657654982</v>
      </c>
      <c r="O297" s="77">
        <f t="shared" si="483"/>
        <v>4.7873889418466674E-2</v>
      </c>
      <c r="P297" s="77">
        <f t="shared" si="483"/>
        <v>8.1091871202492692E-3</v>
      </c>
      <c r="Q297" s="77">
        <f t="shared" si="483"/>
        <v>3.1848619040360855E-2</v>
      </c>
      <c r="R297" s="77">
        <f t="shared" si="483"/>
        <v>5.813199200533397E-2</v>
      </c>
      <c r="S297" s="77">
        <f t="shared" si="483"/>
        <v>1.4243728216652483E-2</v>
      </c>
      <c r="T297" s="77">
        <f t="shared" si="483"/>
        <v>3.6794733933453666E-3</v>
      </c>
      <c r="U297" s="77">
        <f t="shared" si="483"/>
        <v>1.6803923259436287E-2</v>
      </c>
      <c r="V297" s="77">
        <f t="shared" si="483"/>
        <v>1.1991219283765772E-2</v>
      </c>
      <c r="W297" s="77">
        <f t="shared" si="483"/>
        <v>1.372723004499473E-2</v>
      </c>
      <c r="X297" s="77">
        <f t="shared" si="483"/>
        <v>3.2703405574393413E-2</v>
      </c>
      <c r="Y297" s="77">
        <f t="shared" si="483"/>
        <v>5.9728560802574078E-3</v>
      </c>
      <c r="Z297" s="77">
        <f t="shared" si="483"/>
        <v>1.1243281408180874E-2</v>
      </c>
      <c r="AA297" s="77">
        <f t="shared" si="483"/>
        <v>4.9337445592896887E-3</v>
      </c>
      <c r="AB297" s="77">
        <f t="shared" si="483"/>
        <v>6.597918257752429E-2</v>
      </c>
      <c r="AC297" s="77"/>
      <c r="AD297" s="77"/>
      <c r="AE297" s="77">
        <f t="shared" ref="AE297:AV297" si="484">AE288/$BM$288</f>
        <v>1.9911544704591128E-3</v>
      </c>
      <c r="AF297" s="77">
        <f t="shared" si="484"/>
        <v>7.2826695940121319E-4</v>
      </c>
      <c r="AG297" s="77">
        <f t="shared" si="484"/>
        <v>8.571610630040509E-2</v>
      </c>
      <c r="AH297" s="77">
        <f t="shared" si="484"/>
        <v>3.0396432477138462E-2</v>
      </c>
      <c r="AI297" s="77">
        <f t="shared" si="484"/>
        <v>6.741965068945358E-3</v>
      </c>
      <c r="AJ297" s="77">
        <f t="shared" si="484"/>
        <v>1.6380222605072103E-3</v>
      </c>
      <c r="AK297" s="77">
        <f t="shared" si="484"/>
        <v>1.7142093423912666E-3</v>
      </c>
      <c r="AL297" s="77">
        <f t="shared" si="484"/>
        <v>1.8284899652173511E-3</v>
      </c>
      <c r="AM297" s="77">
        <f t="shared" si="484"/>
        <v>9.6413617094063438E-3</v>
      </c>
      <c r="AN297" s="77">
        <f t="shared" si="484"/>
        <v>2.4766375897691149E-3</v>
      </c>
      <c r="AO297" s="77">
        <f t="shared" si="484"/>
        <v>0</v>
      </c>
      <c r="AP297" s="77">
        <f t="shared" si="484"/>
        <v>0</v>
      </c>
      <c r="AQ297" s="77">
        <f t="shared" si="484"/>
        <v>0</v>
      </c>
      <c r="AR297" s="77">
        <f t="shared" si="484"/>
        <v>3.8131447162220097E-2</v>
      </c>
      <c r="AS297" s="77">
        <f t="shared" si="484"/>
        <v>1.0695708380210759E-2</v>
      </c>
      <c r="AT297" s="77">
        <f t="shared" si="484"/>
        <v>4.7213502562180619E-2</v>
      </c>
      <c r="AU297" s="77">
        <f t="shared" si="484"/>
        <v>4.0744926184025391E-3</v>
      </c>
      <c r="AV297" s="77">
        <f t="shared" si="484"/>
        <v>0</v>
      </c>
      <c r="AW297" s="77"/>
      <c r="AX297" s="77"/>
      <c r="AY297" s="77">
        <f t="shared" ref="AY297:BL297" si="485">AY288/$BM$288</f>
        <v>0</v>
      </c>
      <c r="AZ297" s="77">
        <f t="shared" si="485"/>
        <v>0</v>
      </c>
      <c r="BA297" s="77">
        <f t="shared" si="485"/>
        <v>0</v>
      </c>
      <c r="BB297" s="77">
        <f t="shared" si="485"/>
        <v>0</v>
      </c>
      <c r="BC297" s="77">
        <f t="shared" si="485"/>
        <v>0</v>
      </c>
      <c r="BD297" s="77">
        <f t="shared" si="485"/>
        <v>0</v>
      </c>
      <c r="BE297" s="77">
        <f t="shared" si="485"/>
        <v>0</v>
      </c>
      <c r="BF297" s="77">
        <f t="shared" si="485"/>
        <v>0</v>
      </c>
      <c r="BG297" s="77">
        <f t="shared" si="485"/>
        <v>0</v>
      </c>
      <c r="BH297" s="77">
        <f t="shared" si="485"/>
        <v>0</v>
      </c>
      <c r="BI297" s="77">
        <f t="shared" si="485"/>
        <v>0</v>
      </c>
      <c r="BJ297" s="77">
        <f t="shared" si="485"/>
        <v>0</v>
      </c>
      <c r="BK297" s="77">
        <f t="shared" si="485"/>
        <v>0</v>
      </c>
      <c r="BL297" s="77">
        <f t="shared" si="485"/>
        <v>0</v>
      </c>
      <c r="BM297" s="77">
        <f>SUM(G297:BL297)</f>
        <v>0.99999999999999989</v>
      </c>
      <c r="BP297" s="77">
        <v>0.67559999999999998</v>
      </c>
      <c r="BQ297" s="94">
        <f>BM297*BP297</f>
        <v>0.67559999999999987</v>
      </c>
      <c r="BR297" s="94">
        <f>BM297-BQ297</f>
        <v>0.32440000000000002</v>
      </c>
      <c r="BS297" s="77"/>
    </row>
    <row r="298" spans="1:71" hidden="1">
      <c r="A298" t="s">
        <v>126</v>
      </c>
      <c r="E298" s="77"/>
      <c r="F298" s="77"/>
      <c r="G298" s="77">
        <f t="shared" ref="G298:AB298" si="486">G289/$BM$289</f>
        <v>0.1165790187894554</v>
      </c>
      <c r="H298" s="77">
        <f t="shared" si="486"/>
        <v>9.3778875498389661E-2</v>
      </c>
      <c r="I298" s="77">
        <f t="shared" si="486"/>
        <v>1.8154231088347562E-2</v>
      </c>
      <c r="J298" s="77">
        <f t="shared" si="486"/>
        <v>1.8252522572157322E-2</v>
      </c>
      <c r="K298" s="77">
        <f t="shared" si="486"/>
        <v>1.0159092306318325E-2</v>
      </c>
      <c r="L298" s="77">
        <f t="shared" si="486"/>
        <v>2.5707243955842236E-2</v>
      </c>
      <c r="M298" s="77">
        <f t="shared" si="486"/>
        <v>4.6314530364034052E-2</v>
      </c>
      <c r="N298" s="77">
        <f t="shared" si="486"/>
        <v>0.10082495657654983</v>
      </c>
      <c r="O298" s="77">
        <f t="shared" si="486"/>
        <v>4.7873889418466688E-2</v>
      </c>
      <c r="P298" s="77">
        <f t="shared" si="486"/>
        <v>8.1091871202492727E-3</v>
      </c>
      <c r="Q298" s="77">
        <f t="shared" si="486"/>
        <v>3.1848619040360862E-2</v>
      </c>
      <c r="R298" s="77">
        <f t="shared" si="486"/>
        <v>5.8131992005333991E-2</v>
      </c>
      <c r="S298" s="77">
        <f t="shared" si="486"/>
        <v>1.424372821665249E-2</v>
      </c>
      <c r="T298" s="77">
        <f t="shared" si="486"/>
        <v>3.6794733933453675E-3</v>
      </c>
      <c r="U298" s="77">
        <f t="shared" si="486"/>
        <v>1.6803923259436294E-2</v>
      </c>
      <c r="V298" s="77">
        <f t="shared" si="486"/>
        <v>1.1991219283765776E-2</v>
      </c>
      <c r="W298" s="77">
        <f t="shared" si="486"/>
        <v>1.3727230044994735E-2</v>
      </c>
      <c r="X298" s="77">
        <f t="shared" si="486"/>
        <v>3.2703405574393427E-2</v>
      </c>
      <c r="Y298" s="77">
        <f t="shared" si="486"/>
        <v>5.9728560802574104E-3</v>
      </c>
      <c r="Z298" s="77">
        <f t="shared" si="486"/>
        <v>1.1243281408180879E-2</v>
      </c>
      <c r="AA298" s="77">
        <f t="shared" si="486"/>
        <v>4.9337445592896904E-3</v>
      </c>
      <c r="AB298" s="77">
        <f t="shared" si="486"/>
        <v>6.5979182577524317E-2</v>
      </c>
      <c r="AC298" s="77"/>
      <c r="AD298" s="77"/>
      <c r="AE298" s="77">
        <f t="shared" ref="AE298:AV298" si="487">AE289/$BM$289</f>
        <v>1.9911544704591137E-3</v>
      </c>
      <c r="AF298" s="77">
        <f t="shared" si="487"/>
        <v>7.282669594012133E-4</v>
      </c>
      <c r="AG298" s="77">
        <f t="shared" si="487"/>
        <v>8.5716106300405145E-2</v>
      </c>
      <c r="AH298" s="77">
        <f t="shared" si="487"/>
        <v>3.0396432477138472E-2</v>
      </c>
      <c r="AI298" s="77">
        <f t="shared" si="487"/>
        <v>6.7419650689453615E-3</v>
      </c>
      <c r="AJ298" s="77">
        <f t="shared" si="487"/>
        <v>1.6380222605072109E-3</v>
      </c>
      <c r="AK298" s="77">
        <f t="shared" si="487"/>
        <v>1.7142093423912672E-3</v>
      </c>
      <c r="AL298" s="77">
        <f t="shared" si="487"/>
        <v>1.8284899652173513E-3</v>
      </c>
      <c r="AM298" s="77">
        <f t="shared" si="487"/>
        <v>9.6413617094063472E-3</v>
      </c>
      <c r="AN298" s="77">
        <f t="shared" si="487"/>
        <v>2.4766375897691158E-3</v>
      </c>
      <c r="AO298" s="77">
        <f t="shared" si="487"/>
        <v>0</v>
      </c>
      <c r="AP298" s="77">
        <f t="shared" si="487"/>
        <v>0</v>
      </c>
      <c r="AQ298" s="77">
        <f t="shared" si="487"/>
        <v>0</v>
      </c>
      <c r="AR298" s="77">
        <f t="shared" si="487"/>
        <v>3.8131447162220104E-2</v>
      </c>
      <c r="AS298" s="77">
        <f t="shared" si="487"/>
        <v>1.0695708380210764E-2</v>
      </c>
      <c r="AT298" s="77">
        <f t="shared" si="487"/>
        <v>4.7213502562180633E-2</v>
      </c>
      <c r="AU298" s="77">
        <f t="shared" si="487"/>
        <v>4.0744926184025409E-3</v>
      </c>
      <c r="AV298" s="77">
        <f t="shared" si="487"/>
        <v>0</v>
      </c>
      <c r="AW298" s="77"/>
      <c r="AX298" s="77"/>
      <c r="AY298" s="77">
        <f t="shared" ref="AY298:BL298" si="488">AY289/$BM$289</f>
        <v>0</v>
      </c>
      <c r="AZ298" s="77">
        <f t="shared" si="488"/>
        <v>0</v>
      </c>
      <c r="BA298" s="77">
        <f t="shared" si="488"/>
        <v>0</v>
      </c>
      <c r="BB298" s="77">
        <f t="shared" si="488"/>
        <v>0</v>
      </c>
      <c r="BC298" s="77">
        <f t="shared" si="488"/>
        <v>0</v>
      </c>
      <c r="BD298" s="77">
        <f t="shared" si="488"/>
        <v>0</v>
      </c>
      <c r="BE298" s="77">
        <f t="shared" si="488"/>
        <v>0</v>
      </c>
      <c r="BF298" s="77">
        <f t="shared" si="488"/>
        <v>0</v>
      </c>
      <c r="BG298" s="77">
        <f t="shared" si="488"/>
        <v>0</v>
      </c>
      <c r="BH298" s="77">
        <f t="shared" si="488"/>
        <v>0</v>
      </c>
      <c r="BI298" s="77">
        <f t="shared" si="488"/>
        <v>0</v>
      </c>
      <c r="BJ298" s="77">
        <f t="shared" si="488"/>
        <v>0</v>
      </c>
      <c r="BK298" s="77">
        <f t="shared" si="488"/>
        <v>0</v>
      </c>
      <c r="BL298" s="77">
        <f t="shared" si="488"/>
        <v>0</v>
      </c>
      <c r="BM298" s="77">
        <f>SUM(G298:BL298)</f>
        <v>1.0000000000000004</v>
      </c>
      <c r="BP298" s="77">
        <v>0.7298</v>
      </c>
      <c r="BQ298" s="94">
        <f>BM298*BP298</f>
        <v>0.72980000000000034</v>
      </c>
      <c r="BR298" s="94">
        <f>BM298-BQ298</f>
        <v>0.27020000000000011</v>
      </c>
      <c r="BS298" s="77"/>
    </row>
    <row r="299" spans="1:71" hidden="1">
      <c r="A299" t="s">
        <v>129</v>
      </c>
      <c r="E299" s="77"/>
      <c r="F299" s="77"/>
      <c r="G299" s="77">
        <f t="shared" ref="G299:AB299" si="489">G290/$BM$290</f>
        <v>0.11657901878945535</v>
      </c>
      <c r="H299" s="77">
        <f t="shared" si="489"/>
        <v>9.3778875498389619E-2</v>
      </c>
      <c r="I299" s="77">
        <f t="shared" si="489"/>
        <v>1.8154231088347555E-2</v>
      </c>
      <c r="J299" s="77">
        <f t="shared" si="489"/>
        <v>1.8252522572157315E-2</v>
      </c>
      <c r="K299" s="77">
        <f t="shared" si="489"/>
        <v>1.0159092306318321E-2</v>
      </c>
      <c r="L299" s="77">
        <f t="shared" si="489"/>
        <v>2.5707243955842229E-2</v>
      </c>
      <c r="M299" s="77">
        <f t="shared" si="489"/>
        <v>4.6314530364034032E-2</v>
      </c>
      <c r="N299" s="77">
        <f t="shared" si="489"/>
        <v>0.1008249565765498</v>
      </c>
      <c r="O299" s="77">
        <f t="shared" si="489"/>
        <v>4.7873889418466667E-2</v>
      </c>
      <c r="P299" s="77">
        <f t="shared" si="489"/>
        <v>8.1091871202492709E-3</v>
      </c>
      <c r="Q299" s="77">
        <f t="shared" si="489"/>
        <v>3.1848619040360855E-2</v>
      </c>
      <c r="R299" s="77">
        <f t="shared" si="489"/>
        <v>5.813199200533397E-2</v>
      </c>
      <c r="S299" s="77">
        <f t="shared" si="489"/>
        <v>1.4243728216652483E-2</v>
      </c>
      <c r="T299" s="77">
        <f t="shared" si="489"/>
        <v>3.6794733933453658E-3</v>
      </c>
      <c r="U299" s="77">
        <f t="shared" si="489"/>
        <v>1.6803923259436283E-2</v>
      </c>
      <c r="V299" s="77">
        <f t="shared" si="489"/>
        <v>1.199121928376577E-2</v>
      </c>
      <c r="W299" s="77">
        <f t="shared" si="489"/>
        <v>1.3727230044994728E-2</v>
      </c>
      <c r="X299" s="77">
        <f t="shared" si="489"/>
        <v>3.2703405574393413E-2</v>
      </c>
      <c r="Y299" s="77">
        <f t="shared" si="489"/>
        <v>5.9728560802574087E-3</v>
      </c>
      <c r="Z299" s="77">
        <f t="shared" si="489"/>
        <v>1.1243281408180872E-2</v>
      </c>
      <c r="AA299" s="77">
        <f t="shared" si="489"/>
        <v>4.9337445592896878E-3</v>
      </c>
      <c r="AB299" s="77">
        <f t="shared" si="489"/>
        <v>6.597918257752429E-2</v>
      </c>
      <c r="AC299" s="77"/>
      <c r="AD299" s="77"/>
      <c r="AE299" s="77">
        <f t="shared" ref="AE299:AV299" si="490">AE290/$BM$290</f>
        <v>1.9911544704591128E-3</v>
      </c>
      <c r="AF299" s="77">
        <f t="shared" si="490"/>
        <v>7.2826695940121308E-4</v>
      </c>
      <c r="AG299" s="77">
        <f t="shared" si="490"/>
        <v>8.571610630040509E-2</v>
      </c>
      <c r="AH299" s="77">
        <f t="shared" si="490"/>
        <v>3.0396432477138458E-2</v>
      </c>
      <c r="AI299" s="77">
        <f t="shared" si="490"/>
        <v>6.7419650689453589E-3</v>
      </c>
      <c r="AJ299" s="77">
        <f t="shared" si="490"/>
        <v>1.6380222605072103E-3</v>
      </c>
      <c r="AK299" s="77">
        <f t="shared" si="490"/>
        <v>1.7142093423912666E-3</v>
      </c>
      <c r="AL299" s="77">
        <f t="shared" si="490"/>
        <v>1.8284899652173509E-3</v>
      </c>
      <c r="AM299" s="77">
        <f t="shared" si="490"/>
        <v>9.6413617094063438E-3</v>
      </c>
      <c r="AN299" s="77">
        <f t="shared" si="490"/>
        <v>2.4766375897691149E-3</v>
      </c>
      <c r="AO299" s="77">
        <f t="shared" si="490"/>
        <v>0</v>
      </c>
      <c r="AP299" s="77">
        <f t="shared" si="490"/>
        <v>0</v>
      </c>
      <c r="AQ299" s="77">
        <f t="shared" si="490"/>
        <v>0</v>
      </c>
      <c r="AR299" s="77">
        <f t="shared" si="490"/>
        <v>3.813144716222009E-2</v>
      </c>
      <c r="AS299" s="77">
        <f t="shared" si="490"/>
        <v>1.0695708380210759E-2</v>
      </c>
      <c r="AT299" s="77">
        <f t="shared" si="490"/>
        <v>4.7213502562180619E-2</v>
      </c>
      <c r="AU299" s="77">
        <f t="shared" si="490"/>
        <v>4.0744926184025391E-3</v>
      </c>
      <c r="AV299" s="77">
        <f t="shared" si="490"/>
        <v>0</v>
      </c>
      <c r="AW299" s="77"/>
      <c r="AX299" s="77"/>
      <c r="AY299" s="77">
        <f t="shared" ref="AY299:BL299" si="491">AY290/$BM$290</f>
        <v>0</v>
      </c>
      <c r="AZ299" s="77">
        <f t="shared" si="491"/>
        <v>0</v>
      </c>
      <c r="BA299" s="77">
        <f t="shared" si="491"/>
        <v>0</v>
      </c>
      <c r="BB299" s="77">
        <f t="shared" si="491"/>
        <v>0</v>
      </c>
      <c r="BC299" s="77">
        <f t="shared" si="491"/>
        <v>0</v>
      </c>
      <c r="BD299" s="77">
        <f t="shared" si="491"/>
        <v>0</v>
      </c>
      <c r="BE299" s="77">
        <f t="shared" si="491"/>
        <v>0</v>
      </c>
      <c r="BF299" s="77">
        <f t="shared" si="491"/>
        <v>0</v>
      </c>
      <c r="BG299" s="77">
        <f t="shared" si="491"/>
        <v>0</v>
      </c>
      <c r="BH299" s="77">
        <f t="shared" si="491"/>
        <v>0</v>
      </c>
      <c r="BI299" s="77">
        <f t="shared" si="491"/>
        <v>0</v>
      </c>
      <c r="BJ299" s="77">
        <f t="shared" si="491"/>
        <v>0</v>
      </c>
      <c r="BK299" s="77">
        <f t="shared" si="491"/>
        <v>0</v>
      </c>
      <c r="BL299" s="77">
        <f t="shared" si="491"/>
        <v>0</v>
      </c>
      <c r="BM299" s="77">
        <f>SUM(G299:BL299)</f>
        <v>0.99999999999999978</v>
      </c>
      <c r="BP299" s="77">
        <v>0.68359999999999999</v>
      </c>
      <c r="BQ299" s="94">
        <f>BM299*BP299</f>
        <v>0.68359999999999987</v>
      </c>
      <c r="BR299" s="94">
        <f>BM299-BQ299</f>
        <v>0.3163999999999999</v>
      </c>
      <c r="BS299" s="77"/>
    </row>
    <row r="300" spans="1:71" hidden="1"/>
    <row r="301" spans="1:71" hidden="1">
      <c r="A301" t="s">
        <v>123</v>
      </c>
      <c r="E301" s="94"/>
      <c r="F301" s="94"/>
      <c r="G301" s="94">
        <f t="shared" ref="G301:AB301" si="492">$BQ$286*G295</f>
        <v>70127.415832012732</v>
      </c>
      <c r="H301" s="94">
        <f t="shared" si="492"/>
        <v>56412.125154453322</v>
      </c>
      <c r="I301" s="94">
        <f t="shared" si="492"/>
        <v>10920.569806323982</v>
      </c>
      <c r="J301" s="94">
        <f t="shared" si="492"/>
        <v>10979.69646418616</v>
      </c>
      <c r="K301" s="94">
        <f t="shared" si="492"/>
        <v>6111.1415933912995</v>
      </c>
      <c r="L301" s="94">
        <f t="shared" si="492"/>
        <v>15464.039803270391</v>
      </c>
      <c r="M301" s="94">
        <f t="shared" si="492"/>
        <v>27860.230456809877</v>
      </c>
      <c r="N301" s="94">
        <f t="shared" si="492"/>
        <v>60650.653346619823</v>
      </c>
      <c r="O301" s="94">
        <f t="shared" si="492"/>
        <v>28798.253627506721</v>
      </c>
      <c r="P301" s="94">
        <f t="shared" si="492"/>
        <v>4878.0333129099872</v>
      </c>
      <c r="Q301" s="94">
        <f t="shared" si="492"/>
        <v>19158.347482340978</v>
      </c>
      <c r="R301" s="94">
        <f t="shared" si="492"/>
        <v>34968.954266666304</v>
      </c>
      <c r="S301" s="94">
        <f t="shared" si="492"/>
        <v>8568.2300470495211</v>
      </c>
      <c r="T301" s="94">
        <f t="shared" si="492"/>
        <v>2213.3653497630621</v>
      </c>
      <c r="U301" s="94">
        <f t="shared" si="492"/>
        <v>10108.300157783688</v>
      </c>
      <c r="V301" s="94">
        <f t="shared" si="492"/>
        <v>7213.246686903437</v>
      </c>
      <c r="W301" s="94">
        <f t="shared" si="492"/>
        <v>8257.5336418435963</v>
      </c>
      <c r="X301" s="94">
        <f t="shared" si="492"/>
        <v>19672.539241219711</v>
      </c>
      <c r="Y301" s="94">
        <f t="shared" si="492"/>
        <v>3592.9360736982217</v>
      </c>
      <c r="Z301" s="94">
        <f t="shared" si="492"/>
        <v>6763.3291034282993</v>
      </c>
      <c r="AA301" s="94">
        <f t="shared" si="492"/>
        <v>2967.8647145169957</v>
      </c>
      <c r="AB301" s="94">
        <f t="shared" si="492"/>
        <v>39689.385113342934</v>
      </c>
      <c r="AC301" s="94"/>
      <c r="AD301" s="94"/>
      <c r="AE301" s="94">
        <f t="shared" ref="AE301:AV301" si="493">$BQ$286*AE295</f>
        <v>1197.7671367078565</v>
      </c>
      <c r="AF301" s="94">
        <f t="shared" si="493"/>
        <v>438.08466076456511</v>
      </c>
      <c r="AG301" s="94">
        <f t="shared" si="493"/>
        <v>51562.014266783466</v>
      </c>
      <c r="AH301" s="94">
        <f t="shared" si="493"/>
        <v>18284.793286721269</v>
      </c>
      <c r="AI301" s="94">
        <f t="shared" si="493"/>
        <v>4055.5890144239261</v>
      </c>
      <c r="AJ301" s="94">
        <f t="shared" si="493"/>
        <v>985.34255475370946</v>
      </c>
      <c r="AK301" s="94">
        <f t="shared" si="493"/>
        <v>1031.1724410213239</v>
      </c>
      <c r="AL301" s="94">
        <f t="shared" si="493"/>
        <v>1099.9172704227453</v>
      </c>
      <c r="AM301" s="94">
        <f t="shared" si="493"/>
        <v>5799.7038300989689</v>
      </c>
      <c r="AN301" s="94">
        <f t="shared" si="493"/>
        <v>1489.8066215208357</v>
      </c>
      <c r="AO301" s="94">
        <f t="shared" si="493"/>
        <v>0</v>
      </c>
      <c r="AP301" s="94">
        <f t="shared" si="493"/>
        <v>0</v>
      </c>
      <c r="AQ301" s="94">
        <f t="shared" si="493"/>
        <v>0</v>
      </c>
      <c r="AR301" s="94">
        <f t="shared" si="493"/>
        <v>22937.745395257189</v>
      </c>
      <c r="AS301" s="94">
        <f t="shared" si="493"/>
        <v>6433.9398031099827</v>
      </c>
      <c r="AT301" s="94">
        <f t="shared" si="493"/>
        <v>28401.001839306246</v>
      </c>
      <c r="AU301" s="94">
        <f t="shared" si="493"/>
        <v>2450.9868166863148</v>
      </c>
      <c r="AV301" s="94">
        <f t="shared" si="493"/>
        <v>0</v>
      </c>
      <c r="AW301" s="94"/>
      <c r="AX301" s="94"/>
      <c r="AY301" s="94">
        <f t="shared" ref="AY301:BL301" si="494">$BQ$286*AY295</f>
        <v>0</v>
      </c>
      <c r="AZ301" s="94">
        <f t="shared" si="494"/>
        <v>0</v>
      </c>
      <c r="BA301" s="94">
        <f t="shared" si="494"/>
        <v>0</v>
      </c>
      <c r="BB301" s="94">
        <f t="shared" si="494"/>
        <v>0</v>
      </c>
      <c r="BC301" s="94">
        <f t="shared" si="494"/>
        <v>0</v>
      </c>
      <c r="BD301" s="94">
        <f t="shared" si="494"/>
        <v>0</v>
      </c>
      <c r="BE301" s="94">
        <f t="shared" si="494"/>
        <v>0</v>
      </c>
      <c r="BF301" s="94">
        <f t="shared" si="494"/>
        <v>0</v>
      </c>
      <c r="BG301" s="94">
        <f t="shared" si="494"/>
        <v>0</v>
      </c>
      <c r="BH301" s="94">
        <f t="shared" si="494"/>
        <v>0</v>
      </c>
      <c r="BI301" s="94">
        <f t="shared" si="494"/>
        <v>0</v>
      </c>
      <c r="BJ301" s="94">
        <f t="shared" si="494"/>
        <v>0</v>
      </c>
      <c r="BK301" s="94">
        <f t="shared" si="494"/>
        <v>0</v>
      </c>
      <c r="BL301" s="94">
        <f t="shared" si="494"/>
        <v>0</v>
      </c>
      <c r="BM301" s="94">
        <f>SUM(G301:BL301)</f>
        <v>601544.0562136193</v>
      </c>
      <c r="BS301" s="94"/>
    </row>
    <row r="302" spans="1:71" hidden="1">
      <c r="A302" t="s">
        <v>124</v>
      </c>
      <c r="E302" s="94"/>
      <c r="F302" s="94"/>
      <c r="G302" s="94">
        <f t="shared" ref="G302:AB302" si="495">$BQ$287*G296</f>
        <v>841.49751606925179</v>
      </c>
      <c r="H302" s="94">
        <f t="shared" si="495"/>
        <v>676.92018350389799</v>
      </c>
      <c r="I302" s="94">
        <f t="shared" si="495"/>
        <v>131.04193641037446</v>
      </c>
      <c r="J302" s="94">
        <f t="shared" si="495"/>
        <v>131.75142976806049</v>
      </c>
      <c r="K302" s="94">
        <f t="shared" si="495"/>
        <v>73.330956376674905</v>
      </c>
      <c r="L302" s="94">
        <f t="shared" si="495"/>
        <v>185.56153721705712</v>
      </c>
      <c r="M302" s="94">
        <f t="shared" si="495"/>
        <v>334.31026152000658</v>
      </c>
      <c r="N302" s="94">
        <f t="shared" si="495"/>
        <v>727.78061951428106</v>
      </c>
      <c r="O302" s="94">
        <f t="shared" si="495"/>
        <v>345.56611857379619</v>
      </c>
      <c r="P302" s="94">
        <f t="shared" si="495"/>
        <v>58.534210442743507</v>
      </c>
      <c r="Q302" s="94">
        <f t="shared" si="495"/>
        <v>229.89157132212597</v>
      </c>
      <c r="R302" s="94">
        <f t="shared" si="495"/>
        <v>419.61175676897017</v>
      </c>
      <c r="S302" s="94">
        <f t="shared" si="495"/>
        <v>102.81491505367453</v>
      </c>
      <c r="T302" s="94">
        <f t="shared" si="495"/>
        <v>26.55939081572615</v>
      </c>
      <c r="U302" s="94">
        <f t="shared" si="495"/>
        <v>121.29506518297248</v>
      </c>
      <c r="V302" s="94">
        <f t="shared" si="495"/>
        <v>86.555722862571471</v>
      </c>
      <c r="W302" s="94">
        <f t="shared" si="495"/>
        <v>99.086697634987317</v>
      </c>
      <c r="X302" s="94">
        <f t="shared" si="495"/>
        <v>236.06164165405178</v>
      </c>
      <c r="Y302" s="94">
        <f t="shared" si="495"/>
        <v>43.113620337233051</v>
      </c>
      <c r="Z302" s="94">
        <f t="shared" si="495"/>
        <v>81.156913788569099</v>
      </c>
      <c r="AA302" s="94">
        <f t="shared" si="495"/>
        <v>35.613044565597129</v>
      </c>
      <c r="AB302" s="94">
        <f t="shared" si="495"/>
        <v>476.25480835054253</v>
      </c>
      <c r="AC302" s="94"/>
      <c r="AD302" s="94"/>
      <c r="AE302" s="94">
        <f t="shared" ref="AE302:AV302" si="496">$BQ$287*AE296</f>
        <v>14.372668070123478</v>
      </c>
      <c r="AF302" s="94">
        <f t="shared" si="496"/>
        <v>5.2568193122145122</v>
      </c>
      <c r="AG302" s="94">
        <f t="shared" si="496"/>
        <v>618.72102963216082</v>
      </c>
      <c r="AH302" s="94">
        <f t="shared" si="496"/>
        <v>219.40931303491413</v>
      </c>
      <c r="AI302" s="94">
        <f t="shared" si="496"/>
        <v>48.665247982481205</v>
      </c>
      <c r="AJ302" s="94">
        <f t="shared" si="496"/>
        <v>11.823668425039402</v>
      </c>
      <c r="AK302" s="94">
        <f t="shared" si="496"/>
        <v>12.373606491320304</v>
      </c>
      <c r="AL302" s="94">
        <f t="shared" si="496"/>
        <v>13.198513590741657</v>
      </c>
      <c r="AM302" s="94">
        <f t="shared" si="496"/>
        <v>69.593842993680056</v>
      </c>
      <c r="AN302" s="94">
        <f t="shared" si="496"/>
        <v>17.877010817515611</v>
      </c>
      <c r="AO302" s="94">
        <f t="shared" si="496"/>
        <v>0</v>
      </c>
      <c r="AP302" s="94">
        <f t="shared" si="496"/>
        <v>0</v>
      </c>
      <c r="AQ302" s="94">
        <f t="shared" si="496"/>
        <v>0</v>
      </c>
      <c r="AR302" s="94">
        <f t="shared" si="496"/>
        <v>275.24265004395858</v>
      </c>
      <c r="AS302" s="94">
        <f t="shared" si="496"/>
        <v>77.204390018099261</v>
      </c>
      <c r="AT302" s="94">
        <f t="shared" si="496"/>
        <v>340.79927540613204</v>
      </c>
      <c r="AU302" s="94">
        <f t="shared" si="496"/>
        <v>29.410741771814983</v>
      </c>
      <c r="AV302" s="94">
        <f t="shared" si="496"/>
        <v>0</v>
      </c>
      <c r="AW302" s="94"/>
      <c r="AX302" s="94"/>
      <c r="AY302" s="94">
        <f t="shared" ref="AY302:BL302" si="497">$BQ$287*AY296</f>
        <v>0</v>
      </c>
      <c r="AZ302" s="94">
        <f t="shared" si="497"/>
        <v>0</v>
      </c>
      <c r="BA302" s="94">
        <f t="shared" si="497"/>
        <v>0</v>
      </c>
      <c r="BB302" s="94">
        <f t="shared" si="497"/>
        <v>0</v>
      </c>
      <c r="BC302" s="94">
        <f t="shared" si="497"/>
        <v>0</v>
      </c>
      <c r="BD302" s="94">
        <f t="shared" si="497"/>
        <v>0</v>
      </c>
      <c r="BE302" s="94">
        <f t="shared" si="497"/>
        <v>0</v>
      </c>
      <c r="BF302" s="94">
        <f t="shared" si="497"/>
        <v>0</v>
      </c>
      <c r="BG302" s="94">
        <f t="shared" si="497"/>
        <v>0</v>
      </c>
      <c r="BH302" s="94">
        <f t="shared" si="497"/>
        <v>0</v>
      </c>
      <c r="BI302" s="94">
        <f t="shared" si="497"/>
        <v>0</v>
      </c>
      <c r="BJ302" s="94">
        <f t="shared" si="497"/>
        <v>0</v>
      </c>
      <c r="BK302" s="94">
        <f t="shared" si="497"/>
        <v>0</v>
      </c>
      <c r="BL302" s="94">
        <f t="shared" si="497"/>
        <v>0</v>
      </c>
      <c r="BM302" s="94">
        <f>SUM(G302:BL302)</f>
        <v>7218.2586953233631</v>
      </c>
      <c r="BS302" s="94"/>
    </row>
    <row r="303" spans="1:71" hidden="1">
      <c r="A303" t="s">
        <v>125</v>
      </c>
      <c r="E303" s="94"/>
      <c r="F303" s="94"/>
      <c r="G303" s="94">
        <f t="shared" ref="G303:AB303" si="498">$BQ$288*G297</f>
        <v>373.18438834721894</v>
      </c>
      <c r="H303" s="94">
        <f t="shared" si="498"/>
        <v>300.19820595643938</v>
      </c>
      <c r="I303" s="94">
        <f t="shared" si="498"/>
        <v>58.114021673613891</v>
      </c>
      <c r="J303" s="94">
        <f t="shared" si="498"/>
        <v>58.428665317437414</v>
      </c>
      <c r="K303" s="94">
        <f t="shared" si="498"/>
        <v>32.520557196860359</v>
      </c>
      <c r="L303" s="94">
        <f t="shared" si="498"/>
        <v>82.292184403094879</v>
      </c>
      <c r="M303" s="94">
        <f t="shared" si="498"/>
        <v>148.25875071659186</v>
      </c>
      <c r="N303" s="94">
        <f t="shared" si="498"/>
        <v>322.75361502320328</v>
      </c>
      <c r="O303" s="94">
        <f t="shared" si="498"/>
        <v>153.25045901011524</v>
      </c>
      <c r="P303" s="94">
        <f t="shared" si="498"/>
        <v>25.95854783208291</v>
      </c>
      <c r="Q303" s="94">
        <f t="shared" si="498"/>
        <v>101.95151357163164</v>
      </c>
      <c r="R303" s="94">
        <f t="shared" si="498"/>
        <v>186.08796081133434</v>
      </c>
      <c r="S303" s="94">
        <f t="shared" si="498"/>
        <v>45.596000528323835</v>
      </c>
      <c r="T303" s="94">
        <f t="shared" si="498"/>
        <v>11.778466159638466</v>
      </c>
      <c r="U303" s="94">
        <f t="shared" si="498"/>
        <v>53.791513160115471</v>
      </c>
      <c r="V303" s="94">
        <f t="shared" si="498"/>
        <v>38.385430589627397</v>
      </c>
      <c r="W303" s="94">
        <f t="shared" si="498"/>
        <v>43.942623649070242</v>
      </c>
      <c r="X303" s="94">
        <f t="shared" si="498"/>
        <v>104.68779487836049</v>
      </c>
      <c r="Y303" s="94">
        <f t="shared" si="498"/>
        <v>19.11987822630774</v>
      </c>
      <c r="Z303" s="94">
        <f t="shared" si="498"/>
        <v>35.99118554004464</v>
      </c>
      <c r="AA303" s="94">
        <f t="shared" si="498"/>
        <v>15.79354899997219</v>
      </c>
      <c r="AB303" s="94">
        <f t="shared" si="498"/>
        <v>211.20782409664611</v>
      </c>
      <c r="AC303" s="94"/>
      <c r="AD303" s="94"/>
      <c r="AE303" s="94">
        <f t="shared" ref="AE303:AV303" si="499">$BQ$288*AE297</f>
        <v>6.3739407903673797</v>
      </c>
      <c r="AF303" s="94">
        <f t="shared" si="499"/>
        <v>2.3312759244308645</v>
      </c>
      <c r="AG303" s="94">
        <f t="shared" si="499"/>
        <v>274.38824784580532</v>
      </c>
      <c r="AH303" s="94">
        <f t="shared" si="499"/>
        <v>97.302878165453237</v>
      </c>
      <c r="AI303" s="94">
        <f t="shared" si="499"/>
        <v>21.581894723755067</v>
      </c>
      <c r="AJ303" s="94">
        <f t="shared" si="499"/>
        <v>5.2435193033362815</v>
      </c>
      <c r="AK303" s="94">
        <f t="shared" si="499"/>
        <v>5.4874039220961084</v>
      </c>
      <c r="AL303" s="94">
        <f t="shared" si="499"/>
        <v>5.8532308502358497</v>
      </c>
      <c r="AM303" s="94">
        <f t="shared" si="499"/>
        <v>30.863235166331197</v>
      </c>
      <c r="AN303" s="94">
        <f t="shared" si="499"/>
        <v>7.9280345099226039</v>
      </c>
      <c r="AO303" s="94">
        <f t="shared" si="499"/>
        <v>0</v>
      </c>
      <c r="AP303" s="94">
        <f t="shared" si="499"/>
        <v>0</v>
      </c>
      <c r="AQ303" s="94">
        <f t="shared" si="499"/>
        <v>0</v>
      </c>
      <c r="AR303" s="94">
        <f t="shared" si="499"/>
        <v>122.06365205155186</v>
      </c>
      <c r="AS303" s="94">
        <f t="shared" si="499"/>
        <v>34.238334060933155</v>
      </c>
      <c r="AT303" s="94">
        <f t="shared" si="499"/>
        <v>151.13647600018152</v>
      </c>
      <c r="AU303" s="94">
        <f t="shared" si="499"/>
        <v>13.042973353292142</v>
      </c>
      <c r="AV303" s="94">
        <f t="shared" si="499"/>
        <v>0</v>
      </c>
      <c r="AW303" s="94"/>
      <c r="AX303" s="94"/>
      <c r="AY303" s="94">
        <f t="shared" ref="AY303:BL303" si="500">$BQ$288*AY297</f>
        <v>0</v>
      </c>
      <c r="AZ303" s="94">
        <f t="shared" si="500"/>
        <v>0</v>
      </c>
      <c r="BA303" s="94">
        <f t="shared" si="500"/>
        <v>0</v>
      </c>
      <c r="BB303" s="94">
        <f t="shared" si="500"/>
        <v>0</v>
      </c>
      <c r="BC303" s="94">
        <f t="shared" si="500"/>
        <v>0</v>
      </c>
      <c r="BD303" s="94">
        <f t="shared" si="500"/>
        <v>0</v>
      </c>
      <c r="BE303" s="94">
        <f t="shared" si="500"/>
        <v>0</v>
      </c>
      <c r="BF303" s="94">
        <f t="shared" si="500"/>
        <v>0</v>
      </c>
      <c r="BG303" s="94">
        <f t="shared" si="500"/>
        <v>0</v>
      </c>
      <c r="BH303" s="94">
        <f t="shared" si="500"/>
        <v>0</v>
      </c>
      <c r="BI303" s="94">
        <f t="shared" si="500"/>
        <v>0</v>
      </c>
      <c r="BJ303" s="94">
        <f t="shared" si="500"/>
        <v>0</v>
      </c>
      <c r="BK303" s="94">
        <f t="shared" si="500"/>
        <v>0</v>
      </c>
      <c r="BL303" s="94">
        <f t="shared" si="500"/>
        <v>0</v>
      </c>
      <c r="BM303" s="94">
        <f>SUM(G303:BL303)</f>
        <v>3201.1282323554237</v>
      </c>
      <c r="BS303" s="94"/>
    </row>
    <row r="304" spans="1:71" hidden="1">
      <c r="A304" t="s">
        <v>126</v>
      </c>
      <c r="E304" s="94"/>
      <c r="F304" s="94"/>
      <c r="G304" s="94">
        <f t="shared" ref="G304:AB304" si="501">$BQ$289*G298</f>
        <v>1076.3806394153141</v>
      </c>
      <c r="H304" s="94">
        <f t="shared" si="501"/>
        <v>865.86563363437745</v>
      </c>
      <c r="I304" s="94">
        <f t="shared" si="501"/>
        <v>167.61903702638128</v>
      </c>
      <c r="J304" s="94">
        <f t="shared" si="501"/>
        <v>168.52656782644149</v>
      </c>
      <c r="K304" s="94">
        <f t="shared" si="501"/>
        <v>93.799470831909204</v>
      </c>
      <c r="L304" s="94">
        <f t="shared" si="501"/>
        <v>237.35642977720588</v>
      </c>
      <c r="M304" s="94">
        <f t="shared" si="501"/>
        <v>427.62466458473989</v>
      </c>
      <c r="N304" s="94">
        <f t="shared" si="501"/>
        <v>930.92249665343888</v>
      </c>
      <c r="O304" s="94">
        <f t="shared" si="501"/>
        <v>442.0223144664875</v>
      </c>
      <c r="P304" s="94">
        <f t="shared" si="501"/>
        <v>74.872580917809572</v>
      </c>
      <c r="Q304" s="94">
        <f t="shared" si="501"/>
        <v>294.06009145668946</v>
      </c>
      <c r="R304" s="94">
        <f t="shared" si="501"/>
        <v>536.73595278919083</v>
      </c>
      <c r="S304" s="94">
        <f t="shared" si="501"/>
        <v>131.51314400053187</v>
      </c>
      <c r="T304" s="94">
        <f t="shared" si="501"/>
        <v>33.972784854138361</v>
      </c>
      <c r="U304" s="94">
        <f t="shared" si="501"/>
        <v>155.15156887144704</v>
      </c>
      <c r="V304" s="94">
        <f t="shared" si="501"/>
        <v>110.71560229323616</v>
      </c>
      <c r="W304" s="94">
        <f t="shared" si="501"/>
        <v>126.74428732255733</v>
      </c>
      <c r="X304" s="94">
        <f t="shared" si="501"/>
        <v>301.95238361714456</v>
      </c>
      <c r="Y304" s="94">
        <f t="shared" si="501"/>
        <v>55.14771623197629</v>
      </c>
      <c r="Z304" s="94">
        <f t="shared" si="501"/>
        <v>103.80984980771412</v>
      </c>
      <c r="AA304" s="94">
        <f t="shared" si="501"/>
        <v>45.55354109671412</v>
      </c>
      <c r="AB304" s="94">
        <f t="shared" si="501"/>
        <v>609.18950483840433</v>
      </c>
      <c r="AC304" s="94"/>
      <c r="AD304" s="94"/>
      <c r="AE304" s="94">
        <f t="shared" ref="AE304:AV304" si="502">$BQ$289*AE298</f>
        <v>18.384441251458693</v>
      </c>
      <c r="AF304" s="94">
        <f t="shared" si="502"/>
        <v>6.7241298096791651</v>
      </c>
      <c r="AG304" s="94">
        <f t="shared" si="502"/>
        <v>791.42163200438904</v>
      </c>
      <c r="AH304" s="94">
        <f t="shared" si="502"/>
        <v>280.65197121599113</v>
      </c>
      <c r="AI304" s="94">
        <f t="shared" si="502"/>
        <v>62.248942795901371</v>
      </c>
      <c r="AJ304" s="94">
        <f t="shared" si="502"/>
        <v>15.12395168915889</v>
      </c>
      <c r="AK304" s="94">
        <f t="shared" si="502"/>
        <v>15.82739130260814</v>
      </c>
      <c r="AL304" s="94">
        <f t="shared" si="502"/>
        <v>16.882550722782014</v>
      </c>
      <c r="AM304" s="94">
        <f t="shared" si="502"/>
        <v>89.019235102224087</v>
      </c>
      <c r="AN304" s="94">
        <f t="shared" si="502"/>
        <v>22.86693420614727</v>
      </c>
      <c r="AO304" s="94">
        <f t="shared" si="502"/>
        <v>0</v>
      </c>
      <c r="AP304" s="94">
        <f t="shared" si="502"/>
        <v>0</v>
      </c>
      <c r="AQ304" s="94">
        <f t="shared" si="502"/>
        <v>0</v>
      </c>
      <c r="AR304" s="94">
        <f t="shared" si="502"/>
        <v>352.06979698832544</v>
      </c>
      <c r="AS304" s="94">
        <f t="shared" si="502"/>
        <v>98.754077233083706</v>
      </c>
      <c r="AT304" s="94">
        <f t="shared" si="502"/>
        <v>435.92492546791976</v>
      </c>
      <c r="AU304" s="94">
        <f t="shared" si="502"/>
        <v>37.620019583539268</v>
      </c>
      <c r="AV304" s="94">
        <f t="shared" si="502"/>
        <v>0</v>
      </c>
      <c r="AW304" s="94"/>
      <c r="AX304" s="94"/>
      <c r="AY304" s="94">
        <f t="shared" ref="AY304:BL304" si="503">$BQ$289*AY298</f>
        <v>0</v>
      </c>
      <c r="AZ304" s="94">
        <f t="shared" si="503"/>
        <v>0</v>
      </c>
      <c r="BA304" s="94">
        <f t="shared" si="503"/>
        <v>0</v>
      </c>
      <c r="BB304" s="94">
        <f t="shared" si="503"/>
        <v>0</v>
      </c>
      <c r="BC304" s="94">
        <f t="shared" si="503"/>
        <v>0</v>
      </c>
      <c r="BD304" s="94">
        <f t="shared" si="503"/>
        <v>0</v>
      </c>
      <c r="BE304" s="94">
        <f t="shared" si="503"/>
        <v>0</v>
      </c>
      <c r="BF304" s="94">
        <f t="shared" si="503"/>
        <v>0</v>
      </c>
      <c r="BG304" s="94">
        <f t="shared" si="503"/>
        <v>0</v>
      </c>
      <c r="BH304" s="94">
        <f t="shared" si="503"/>
        <v>0</v>
      </c>
      <c r="BI304" s="94">
        <f t="shared" si="503"/>
        <v>0</v>
      </c>
      <c r="BJ304" s="94">
        <f t="shared" si="503"/>
        <v>0</v>
      </c>
      <c r="BK304" s="94">
        <f t="shared" si="503"/>
        <v>0</v>
      </c>
      <c r="BL304" s="94">
        <f t="shared" si="503"/>
        <v>0</v>
      </c>
      <c r="BM304" s="94">
        <f>SUM(G304:BL304)</f>
        <v>9233.0562616870557</v>
      </c>
      <c r="BS304" s="94"/>
    </row>
    <row r="305" spans="1:71" hidden="1">
      <c r="A305" t="s">
        <v>129</v>
      </c>
      <c r="E305" s="94"/>
      <c r="F305" s="94"/>
      <c r="G305" s="94">
        <f t="shared" ref="G305:AB305" si="504">$BQ$290*G299</f>
        <v>1116.6634133463269</v>
      </c>
      <c r="H305" s="94">
        <f t="shared" si="504"/>
        <v>898.27003436131099</v>
      </c>
      <c r="I305" s="94">
        <f t="shared" si="504"/>
        <v>173.8920593456377</v>
      </c>
      <c r="J305" s="94">
        <f t="shared" si="504"/>
        <v>174.8335538354147</v>
      </c>
      <c r="K305" s="94">
        <f t="shared" si="504"/>
        <v>97.309848796736674</v>
      </c>
      <c r="L305" s="94">
        <f t="shared" si="504"/>
        <v>246.23932403567306</v>
      </c>
      <c r="M305" s="94">
        <f t="shared" si="504"/>
        <v>443.62821115554152</v>
      </c>
      <c r="N305" s="94">
        <f t="shared" si="504"/>
        <v>965.76160384915602</v>
      </c>
      <c r="O305" s="94">
        <f t="shared" si="504"/>
        <v>458.56468276455411</v>
      </c>
      <c r="P305" s="94">
        <f t="shared" si="504"/>
        <v>77.674633593507934</v>
      </c>
      <c r="Q305" s="94">
        <f t="shared" si="504"/>
        <v>305.0650796109889</v>
      </c>
      <c r="R305" s="94">
        <f t="shared" si="504"/>
        <v>556.82291111519555</v>
      </c>
      <c r="S305" s="94">
        <f t="shared" si="504"/>
        <v>136.43492915230479</v>
      </c>
      <c r="T305" s="94">
        <f t="shared" si="504"/>
        <v>35.244191977207358</v>
      </c>
      <c r="U305" s="94">
        <f t="shared" si="504"/>
        <v>160.95800513110083</v>
      </c>
      <c r="V305" s="94">
        <f t="shared" si="504"/>
        <v>114.85905435331499</v>
      </c>
      <c r="W305" s="94">
        <f t="shared" si="504"/>
        <v>131.48760143124963</v>
      </c>
      <c r="X305" s="94">
        <f t="shared" si="504"/>
        <v>313.25273514872458</v>
      </c>
      <c r="Y305" s="94">
        <f t="shared" si="504"/>
        <v>57.21157998466424</v>
      </c>
      <c r="Z305" s="94">
        <f t="shared" si="504"/>
        <v>107.69485903074141</v>
      </c>
      <c r="AA305" s="94">
        <f t="shared" si="504"/>
        <v>47.258349721619162</v>
      </c>
      <c r="AB305" s="94">
        <f t="shared" si="504"/>
        <v>631.9879854185466</v>
      </c>
      <c r="AC305" s="94"/>
      <c r="AD305" s="94"/>
      <c r="AE305" s="94">
        <f t="shared" ref="AE305:AV305" si="505">$BQ$290*AE299</f>
        <v>19.072465788190211</v>
      </c>
      <c r="AF305" s="94">
        <f t="shared" si="505"/>
        <v>6.9757755482658643</v>
      </c>
      <c r="AG305" s="94">
        <f t="shared" si="505"/>
        <v>821.04001932828521</v>
      </c>
      <c r="AH305" s="94">
        <f t="shared" si="505"/>
        <v>291.15517008059351</v>
      </c>
      <c r="AI305" s="94">
        <f t="shared" si="505"/>
        <v>64.578564862918427</v>
      </c>
      <c r="AJ305" s="94">
        <f t="shared" si="505"/>
        <v>15.689954740987172</v>
      </c>
      <c r="AK305" s="94">
        <f t="shared" si="505"/>
        <v>16.419720077777274</v>
      </c>
      <c r="AL305" s="94">
        <f t="shared" si="505"/>
        <v>17.514368082962424</v>
      </c>
      <c r="AM305" s="94">
        <f t="shared" si="505"/>
        <v>92.35071617111663</v>
      </c>
      <c r="AN305" s="94">
        <f t="shared" si="505"/>
        <v>23.722712828867518</v>
      </c>
      <c r="AO305" s="94">
        <f t="shared" si="505"/>
        <v>0</v>
      </c>
      <c r="AP305" s="94">
        <f t="shared" si="505"/>
        <v>0</v>
      </c>
      <c r="AQ305" s="94">
        <f t="shared" si="505"/>
        <v>0</v>
      </c>
      <c r="AR305" s="94">
        <f t="shared" si="505"/>
        <v>365.24575679351301</v>
      </c>
      <c r="AS305" s="94">
        <f t="shared" si="505"/>
        <v>102.44987779124588</v>
      </c>
      <c r="AT305" s="94">
        <f t="shared" si="505"/>
        <v>452.23910335303714</v>
      </c>
      <c r="AU305" s="94">
        <f t="shared" si="505"/>
        <v>39.027921852189479</v>
      </c>
      <c r="AV305" s="94">
        <f t="shared" si="505"/>
        <v>0</v>
      </c>
      <c r="AW305" s="94"/>
      <c r="AX305" s="94"/>
      <c r="AY305" s="94">
        <f t="shared" ref="AY305:BL305" si="506">$BQ$290*AY299</f>
        <v>0</v>
      </c>
      <c r="AZ305" s="94">
        <f t="shared" si="506"/>
        <v>0</v>
      </c>
      <c r="BA305" s="94">
        <f t="shared" si="506"/>
        <v>0</v>
      </c>
      <c r="BB305" s="94">
        <f t="shared" si="506"/>
        <v>0</v>
      </c>
      <c r="BC305" s="94">
        <f t="shared" si="506"/>
        <v>0</v>
      </c>
      <c r="BD305" s="94">
        <f t="shared" si="506"/>
        <v>0</v>
      </c>
      <c r="BE305" s="94">
        <f t="shared" si="506"/>
        <v>0</v>
      </c>
      <c r="BF305" s="94">
        <f t="shared" si="506"/>
        <v>0</v>
      </c>
      <c r="BG305" s="94">
        <f t="shared" si="506"/>
        <v>0</v>
      </c>
      <c r="BH305" s="94">
        <f t="shared" si="506"/>
        <v>0</v>
      </c>
      <c r="BI305" s="94">
        <f t="shared" si="506"/>
        <v>0</v>
      </c>
      <c r="BJ305" s="94">
        <f t="shared" si="506"/>
        <v>0</v>
      </c>
      <c r="BK305" s="94">
        <f t="shared" si="506"/>
        <v>0</v>
      </c>
      <c r="BL305" s="94">
        <f t="shared" si="506"/>
        <v>0</v>
      </c>
      <c r="BM305" s="94">
        <f>SUM(G305:BL305)</f>
        <v>9578.5967744594655</v>
      </c>
      <c r="BS305" s="94"/>
    </row>
    <row r="306" spans="1:71" hidden="1"/>
    <row r="307" spans="1:71" ht="56.25" hidden="1">
      <c r="A307" s="185" t="s">
        <v>655</v>
      </c>
    </row>
    <row r="308" spans="1:71" hidden="1"/>
  </sheetData>
  <sheetProtection algorithmName="SHA-512" hashValue="x2kocZB2bnoNdluqZ/pgFkLd0UJzo2wZWz7KYN6GTZBihaqsmf31FXg+PcanEqYZEezhkIBdA4vzZQIqjDiNhQ==" saltValue="MNHIKIAEBlIvPJSG1jEXAQ==" spinCount="100000" sheet="1" objects="1" scenarios="1" selectLockedCells="1" selectUnlockedCells="1"/>
  <mergeCells count="6">
    <mergeCell ref="A6:CD6"/>
    <mergeCell ref="A1:CD1"/>
    <mergeCell ref="A2:CD2"/>
    <mergeCell ref="A3:CD3"/>
    <mergeCell ref="A4:CD4"/>
    <mergeCell ref="A5:CD5"/>
  </mergeCells>
  <pageMargins left="0.7" right="0.7" top="0.75" bottom="0.75" header="0.3" footer="0.3"/>
  <pageSetup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6F423-F2DA-4648-9EE6-5226E602A570}">
  <dimension ref="A1:BE126"/>
  <sheetViews>
    <sheetView zoomScale="110" zoomScaleNormal="110" workbookViewId="0">
      <pane xSplit="7" ySplit="5" topLeftCell="AT67" activePane="bottomRight" state="frozen"/>
      <selection activeCell="D96" sqref="D96"/>
      <selection pane="topRight" activeCell="D96" sqref="D96"/>
      <selection pane="bottomLeft" activeCell="D96" sqref="D96"/>
      <selection pane="bottomRight" activeCell="D96" sqref="D96"/>
    </sheetView>
  </sheetViews>
  <sheetFormatPr defaultRowHeight="11.25"/>
  <cols>
    <col min="4" max="4" width="37.1640625" customWidth="1"/>
    <col min="5" max="5" width="10.5" customWidth="1"/>
    <col min="6" max="6" width="10" customWidth="1"/>
    <col min="7" max="7" width="24" bestFit="1" customWidth="1"/>
    <col min="8" max="8" width="17.33203125" bestFit="1" customWidth="1"/>
    <col min="9" max="9" width="29.5" customWidth="1"/>
    <col min="10" max="10" width="25.5" bestFit="1" customWidth="1"/>
    <col min="11" max="11" width="17.1640625" bestFit="1" customWidth="1"/>
    <col min="12" max="12" width="15.83203125" bestFit="1" customWidth="1"/>
    <col min="13" max="13" width="26" bestFit="1" customWidth="1"/>
    <col min="14" max="14" width="24" bestFit="1" customWidth="1"/>
    <col min="15" max="16" width="17.1640625" bestFit="1" customWidth="1"/>
    <col min="17" max="17" width="15.83203125" bestFit="1" customWidth="1"/>
    <col min="18" max="18" width="17.1640625" bestFit="1" customWidth="1"/>
    <col min="19" max="19" width="17.1640625" customWidth="1"/>
    <col min="20" max="22" width="15.83203125" bestFit="1" customWidth="1"/>
    <col min="23" max="24" width="16" bestFit="1" customWidth="1"/>
    <col min="25" max="25" width="17.1640625" bestFit="1" customWidth="1"/>
    <col min="26" max="26" width="15.83203125" bestFit="1" customWidth="1"/>
    <col min="27" max="29" width="17.1640625" bestFit="1" customWidth="1"/>
    <col min="30" max="31" width="17.1640625" customWidth="1"/>
    <col min="32" max="33" width="14.33203125" bestFit="1" customWidth="1"/>
    <col min="34" max="34" width="17.1640625" bestFit="1" customWidth="1"/>
    <col min="35" max="35" width="17.6640625" bestFit="1" customWidth="1"/>
    <col min="36" max="36" width="16" bestFit="1" customWidth="1"/>
    <col min="37" max="41" width="15.83203125" bestFit="1" customWidth="1"/>
    <col min="42" max="44" width="15.83203125" customWidth="1"/>
    <col min="45" max="45" width="17.1640625" bestFit="1" customWidth="1"/>
    <col min="46" max="46" width="16" style="148" bestFit="1" customWidth="1"/>
    <col min="47" max="47" width="17.1640625" bestFit="1" customWidth="1"/>
    <col min="48" max="48" width="17.6640625" bestFit="1" customWidth="1"/>
    <col min="49" max="51" width="17.6640625" customWidth="1"/>
    <col min="52" max="52" width="19.5" bestFit="1" customWidth="1"/>
    <col min="53" max="53" width="17.6640625" bestFit="1" customWidth="1"/>
    <col min="55" max="55" width="18.6640625" bestFit="1" customWidth="1"/>
    <col min="56" max="56" width="12.1640625" customWidth="1"/>
  </cols>
  <sheetData>
    <row r="1" spans="1:56" ht="12.75">
      <c r="A1" s="53"/>
      <c r="B1" s="54"/>
      <c r="C1" s="54"/>
      <c r="D1" s="55"/>
      <c r="E1" s="55"/>
      <c r="F1" s="55"/>
      <c r="G1" s="55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146"/>
      <c r="AU1" s="54"/>
      <c r="AV1" s="54"/>
      <c r="AW1" s="54"/>
      <c r="AX1" s="54"/>
      <c r="AY1" s="54"/>
      <c r="AZ1" s="54"/>
      <c r="BA1" s="54"/>
    </row>
    <row r="2" spans="1:56" ht="12.75">
      <c r="A2" s="53"/>
      <c r="B2" s="54"/>
      <c r="C2" s="54"/>
      <c r="D2" s="55"/>
      <c r="E2" s="55"/>
      <c r="F2" s="55"/>
      <c r="G2" s="55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3">
        <v>1027</v>
      </c>
      <c r="AL2" s="53">
        <v>1028</v>
      </c>
      <c r="AM2" s="53">
        <v>1029</v>
      </c>
      <c r="AN2" s="53">
        <v>1031</v>
      </c>
      <c r="AO2" s="54"/>
      <c r="AP2" s="54"/>
      <c r="AQ2" s="54"/>
      <c r="AR2" s="54"/>
      <c r="AS2" s="53">
        <v>1095</v>
      </c>
      <c r="AT2" s="102">
        <v>1096</v>
      </c>
      <c r="AU2" s="53">
        <v>1100</v>
      </c>
      <c r="AV2" s="54"/>
      <c r="AW2" s="54"/>
      <c r="AX2" s="54"/>
      <c r="AY2" s="54"/>
      <c r="AZ2" s="54"/>
      <c r="BA2" s="54"/>
    </row>
    <row r="3" spans="1:56" ht="11.25" customHeight="1">
      <c r="A3" s="53"/>
      <c r="B3" s="54"/>
      <c r="C3" s="54"/>
      <c r="D3" s="55"/>
      <c r="E3" s="55"/>
      <c r="F3" s="55"/>
      <c r="G3" s="55"/>
      <c r="H3" s="394" t="s">
        <v>656</v>
      </c>
      <c r="I3" s="395"/>
      <c r="J3" s="395"/>
      <c r="K3" s="395"/>
      <c r="L3" s="395"/>
      <c r="M3" s="395"/>
      <c r="N3" s="396"/>
      <c r="O3" s="267" t="s">
        <v>657</v>
      </c>
      <c r="P3" s="267" t="s">
        <v>290</v>
      </c>
      <c r="Q3" s="267" t="s">
        <v>84</v>
      </c>
      <c r="R3" s="56" t="s">
        <v>84</v>
      </c>
      <c r="S3" s="56" t="s">
        <v>84</v>
      </c>
      <c r="T3" s="56" t="s">
        <v>84</v>
      </c>
      <c r="U3" s="56" t="s">
        <v>84</v>
      </c>
      <c r="V3" s="57" t="s">
        <v>84</v>
      </c>
      <c r="W3" s="58" t="s">
        <v>84</v>
      </c>
      <c r="X3" s="58" t="s">
        <v>84</v>
      </c>
      <c r="Y3" s="394" t="s">
        <v>658</v>
      </c>
      <c r="Z3" s="395"/>
      <c r="AA3" s="395"/>
      <c r="AB3" s="395"/>
      <c r="AC3" s="396"/>
      <c r="AD3" s="56"/>
      <c r="AE3" s="56"/>
      <c r="AF3" s="56" t="s">
        <v>84</v>
      </c>
      <c r="AG3" s="56" t="s">
        <v>84</v>
      </c>
      <c r="AH3" s="56" t="s">
        <v>84</v>
      </c>
      <c r="AI3" s="56" t="s">
        <v>84</v>
      </c>
      <c r="AJ3" s="59" t="s">
        <v>659</v>
      </c>
      <c r="AK3" s="59" t="s">
        <v>660</v>
      </c>
      <c r="AL3" s="59" t="s">
        <v>660</v>
      </c>
      <c r="AM3" s="59" t="s">
        <v>660</v>
      </c>
      <c r="AN3" s="59" t="s">
        <v>660</v>
      </c>
      <c r="AO3" s="53"/>
      <c r="AP3" s="53"/>
      <c r="AQ3" s="53"/>
      <c r="AR3" s="53"/>
      <c r="AS3" s="59" t="s">
        <v>661</v>
      </c>
      <c r="AT3" s="147" t="s">
        <v>662</v>
      </c>
      <c r="AU3" s="53"/>
      <c r="AV3" s="53"/>
      <c r="AW3" s="53"/>
      <c r="AX3" s="53"/>
      <c r="AY3" s="53"/>
      <c r="AZ3" s="28"/>
      <c r="BA3" s="54"/>
    </row>
    <row r="4" spans="1:56" ht="15">
      <c r="A4" s="54"/>
      <c r="B4" s="54"/>
      <c r="C4" s="54"/>
      <c r="D4" s="54"/>
      <c r="E4" s="54"/>
      <c r="F4" s="54"/>
      <c r="G4" s="54"/>
      <c r="H4" s="259" t="s">
        <v>663</v>
      </c>
      <c r="I4" s="258" t="s">
        <v>664</v>
      </c>
      <c r="J4" s="258" t="s">
        <v>665</v>
      </c>
      <c r="K4" s="258" t="s">
        <v>666</v>
      </c>
      <c r="L4" s="258" t="s">
        <v>667</v>
      </c>
      <c r="M4" s="258" t="s">
        <v>668</v>
      </c>
      <c r="N4" s="258" t="s">
        <v>669</v>
      </c>
      <c r="O4" s="258" t="s">
        <v>670</v>
      </c>
      <c r="P4" s="258" t="s">
        <v>670</v>
      </c>
      <c r="Q4" s="258" t="s">
        <v>289</v>
      </c>
      <c r="R4" s="258" t="s">
        <v>295</v>
      </c>
      <c r="S4" s="258" t="s">
        <v>300</v>
      </c>
      <c r="T4" s="258" t="s">
        <v>304</v>
      </c>
      <c r="U4" s="258" t="s">
        <v>671</v>
      </c>
      <c r="V4" s="265" t="s">
        <v>672</v>
      </c>
      <c r="W4" s="265" t="s">
        <v>673</v>
      </c>
      <c r="X4" s="265" t="s">
        <v>674</v>
      </c>
      <c r="Y4" s="265" t="s">
        <v>675</v>
      </c>
      <c r="Z4" s="259" t="s">
        <v>676</v>
      </c>
      <c r="AA4" s="259" t="s">
        <v>677</v>
      </c>
      <c r="AB4" s="259" t="s">
        <v>678</v>
      </c>
      <c r="AC4" s="259" t="s">
        <v>679</v>
      </c>
      <c r="AD4" s="258" t="s">
        <v>680</v>
      </c>
      <c r="AE4" s="258" t="s">
        <v>681</v>
      </c>
      <c r="AF4" s="260" t="s">
        <v>682</v>
      </c>
      <c r="AG4" s="260" t="s">
        <v>683</v>
      </c>
      <c r="AH4" s="258" t="s">
        <v>684</v>
      </c>
      <c r="AI4" s="258" t="s">
        <v>685</v>
      </c>
      <c r="AJ4" s="263" t="s">
        <v>659</v>
      </c>
      <c r="AK4" s="262" t="s">
        <v>660</v>
      </c>
      <c r="AL4" s="262" t="s">
        <v>660</v>
      </c>
      <c r="AM4" s="262" t="s">
        <v>660</v>
      </c>
      <c r="AN4" s="262" t="s">
        <v>660</v>
      </c>
      <c r="AO4" s="261" t="s">
        <v>686</v>
      </c>
      <c r="AP4" s="253" t="s">
        <v>687</v>
      </c>
      <c r="AQ4" s="108" t="s">
        <v>688</v>
      </c>
      <c r="AR4" s="261" t="s">
        <v>689</v>
      </c>
      <c r="AS4" s="262" t="s">
        <v>661</v>
      </c>
      <c r="AT4" s="264" t="s">
        <v>286</v>
      </c>
      <c r="AU4" s="266" t="s">
        <v>690</v>
      </c>
      <c r="AV4" s="266" t="s">
        <v>691</v>
      </c>
      <c r="AW4" s="265" t="s">
        <v>692</v>
      </c>
      <c r="AX4" s="265" t="s">
        <v>693</v>
      </c>
      <c r="AY4" s="265" t="s">
        <v>694</v>
      </c>
      <c r="AZ4" s="28"/>
      <c r="BA4" s="54"/>
    </row>
    <row r="5" spans="1:56" ht="60">
      <c r="A5" s="64" t="s">
        <v>695</v>
      </c>
      <c r="B5" s="64" t="s">
        <v>696</v>
      </c>
      <c r="C5" s="64" t="s">
        <v>697</v>
      </c>
      <c r="D5" s="64" t="s">
        <v>698</v>
      </c>
      <c r="E5" s="64" t="s">
        <v>699</v>
      </c>
      <c r="F5" s="64"/>
      <c r="G5" s="64" t="s">
        <v>84</v>
      </c>
      <c r="H5" s="53">
        <v>1005</v>
      </c>
      <c r="I5" s="53">
        <v>1010</v>
      </c>
      <c r="J5" s="53">
        <v>1011</v>
      </c>
      <c r="K5" s="53">
        <v>1012</v>
      </c>
      <c r="L5" s="53">
        <v>1014</v>
      </c>
      <c r="M5" s="53">
        <v>1015</v>
      </c>
      <c r="N5" s="53">
        <v>1016</v>
      </c>
      <c r="O5" s="53">
        <v>1017</v>
      </c>
      <c r="P5" s="53">
        <v>1018</v>
      </c>
      <c r="Q5" s="53">
        <v>1020</v>
      </c>
      <c r="R5" s="53">
        <v>1021</v>
      </c>
      <c r="S5" s="53">
        <v>1025</v>
      </c>
      <c r="T5" s="53">
        <v>1026</v>
      </c>
      <c r="U5" s="53">
        <v>1030</v>
      </c>
      <c r="V5" s="53">
        <v>1032</v>
      </c>
      <c r="W5" s="53">
        <v>1033</v>
      </c>
      <c r="X5" s="53">
        <v>1034</v>
      </c>
      <c r="Y5" s="53">
        <v>1035</v>
      </c>
      <c r="Z5" s="65">
        <v>1036</v>
      </c>
      <c r="AA5" s="65">
        <v>1037</v>
      </c>
      <c r="AB5" s="65">
        <v>1038</v>
      </c>
      <c r="AC5" s="53">
        <v>1039</v>
      </c>
      <c r="AD5" s="53">
        <v>1041</v>
      </c>
      <c r="AE5" s="53">
        <v>1042</v>
      </c>
      <c r="AF5" s="102">
        <v>1046</v>
      </c>
      <c r="AG5" s="102">
        <v>1047</v>
      </c>
      <c r="AH5" s="53">
        <v>1065</v>
      </c>
      <c r="AI5" s="53">
        <v>1066</v>
      </c>
      <c r="AJ5" s="53">
        <v>1087</v>
      </c>
      <c r="AK5" s="27" t="s">
        <v>700</v>
      </c>
      <c r="AL5" s="27" t="s">
        <v>701</v>
      </c>
      <c r="AM5" s="27" t="s">
        <v>702</v>
      </c>
      <c r="AN5" s="27" t="s">
        <v>703</v>
      </c>
      <c r="AO5" s="53">
        <v>1050</v>
      </c>
      <c r="AP5" s="254" t="s">
        <v>704</v>
      </c>
      <c r="AQ5" s="254" t="s">
        <v>705</v>
      </c>
      <c r="AR5" s="254" t="s">
        <v>706</v>
      </c>
      <c r="AS5" s="27" t="s">
        <v>707</v>
      </c>
      <c r="AT5" s="27" t="s">
        <v>708</v>
      </c>
      <c r="AU5" s="27"/>
      <c r="AV5" s="53">
        <v>1995</v>
      </c>
      <c r="AW5" s="53">
        <v>1999</v>
      </c>
      <c r="AX5" s="53">
        <v>2504</v>
      </c>
      <c r="AY5" s="53">
        <v>2508</v>
      </c>
      <c r="AZ5" s="53" t="s">
        <v>709</v>
      </c>
      <c r="BA5" s="54"/>
    </row>
    <row r="6" spans="1:56" ht="12.75">
      <c r="A6" s="66">
        <v>214</v>
      </c>
      <c r="B6" s="66" t="str">
        <f>'Comp 25-26'!A2</f>
        <v>Alvarado, Francisco</v>
      </c>
      <c r="C6" s="66"/>
      <c r="D6" s="66" t="str">
        <f>'Comp 25-26'!C2</f>
        <v>IT Manager</v>
      </c>
      <c r="E6" s="66"/>
      <c r="F6" s="66"/>
      <c r="G6" s="74">
        <f>'Comp 25-26'!T2</f>
        <v>90736.598549999995</v>
      </c>
      <c r="H6" s="278">
        <f>$G6*'2026 Labor Alloc %'!D6</f>
        <v>907.36598549999997</v>
      </c>
      <c r="I6" s="278">
        <f>$G6*'2026 Labor Alloc %'!E6</f>
        <v>0</v>
      </c>
      <c r="J6" s="278">
        <f>$G6*'2026 Labor Alloc %'!F6</f>
        <v>0</v>
      </c>
      <c r="K6" s="278">
        <f>$G6*'2026 Labor Alloc %'!G6</f>
        <v>0</v>
      </c>
      <c r="L6" s="278">
        <f>$G6*'2026 Labor Alloc %'!H6</f>
        <v>0</v>
      </c>
      <c r="M6" s="278">
        <f>$G6*'2026 Labor Alloc %'!I6</f>
        <v>65330.350955999995</v>
      </c>
      <c r="N6" s="278">
        <f>$G6*'2026 Labor Alloc %'!J6</f>
        <v>0</v>
      </c>
      <c r="O6" s="278">
        <f>$G6*'2026 Labor Alloc %'!K6</f>
        <v>3629.4639419999999</v>
      </c>
      <c r="P6" s="278">
        <f>$G6*'2026 Labor Alloc %'!L6</f>
        <v>0</v>
      </c>
      <c r="Q6" s="278">
        <f>$G6*'2026 Labor Alloc %'!M6</f>
        <v>0</v>
      </c>
      <c r="R6" s="278">
        <f>$G6*'2026 Labor Alloc %'!N6</f>
        <v>7258.9278839999997</v>
      </c>
      <c r="S6" s="278">
        <f>$G6*'2026 Labor Alloc %'!O6</f>
        <v>0</v>
      </c>
      <c r="T6" s="278">
        <f>$G6*'2026 Labor Alloc %'!P6</f>
        <v>0</v>
      </c>
      <c r="U6" s="278">
        <f>$G6*'2026 Labor Alloc %'!Q6</f>
        <v>0</v>
      </c>
      <c r="V6" s="278">
        <f>$G6*'2026 Labor Alloc %'!R6</f>
        <v>0</v>
      </c>
      <c r="W6" s="278">
        <f>$G6*'2026 Labor Alloc %'!S6</f>
        <v>0</v>
      </c>
      <c r="X6" s="278">
        <f>$G6*'2026 Labor Alloc %'!T6</f>
        <v>0</v>
      </c>
      <c r="Y6" s="278">
        <f>$G6*'2026 Labor Alloc %'!U6</f>
        <v>0</v>
      </c>
      <c r="Z6" s="278">
        <f>$G6*'2026 Labor Alloc %'!V6</f>
        <v>0</v>
      </c>
      <c r="AA6" s="278">
        <f>$G6*'2026 Labor Alloc %'!W6</f>
        <v>0</v>
      </c>
      <c r="AB6" s="278">
        <f>$G6*'2026 Labor Alloc %'!X6</f>
        <v>0</v>
      </c>
      <c r="AC6" s="278">
        <f>$G6*'2026 Labor Alloc %'!Y6</f>
        <v>0</v>
      </c>
      <c r="AD6" s="278">
        <f>$G6*'2026 Labor Alloc %'!Z6</f>
        <v>4536.8299274999999</v>
      </c>
      <c r="AE6" s="278">
        <f>$G6*'2026 Labor Alloc %'!AA6</f>
        <v>0</v>
      </c>
      <c r="AF6" s="278">
        <f>$G6*'2026 Labor Alloc %'!AB6</f>
        <v>0</v>
      </c>
      <c r="AG6" s="278">
        <f>$G6*'2026 Labor Alloc %'!AC6</f>
        <v>0</v>
      </c>
      <c r="AH6" s="278">
        <f>$G6*'2026 Labor Alloc %'!AD6</f>
        <v>7258.9278839999997</v>
      </c>
      <c r="AI6" s="278">
        <f>$G6*'2026 Labor Alloc %'!AE6</f>
        <v>1814.7319709999999</v>
      </c>
      <c r="AJ6" s="278">
        <f>$G6*'2026 Labor Alloc %'!AF6</f>
        <v>0</v>
      </c>
      <c r="AK6" s="278">
        <f>$G6*'2026 Labor Alloc %'!AG6</f>
        <v>0</v>
      </c>
      <c r="AL6" s="278">
        <f>$G6*'2026 Labor Alloc %'!AH6</f>
        <v>0</v>
      </c>
      <c r="AM6" s="278">
        <f>$G6*'2026 Labor Alloc %'!AI6</f>
        <v>0</v>
      </c>
      <c r="AN6" s="278">
        <f>$G6*'2026 Labor Alloc %'!AJ6</f>
        <v>0</v>
      </c>
      <c r="AO6" s="278">
        <f>$G6*'2026 Labor Alloc %'!AK6</f>
        <v>0</v>
      </c>
      <c r="AP6" s="278">
        <f>$G6*'2026 Labor Alloc %'!AL6</f>
        <v>0</v>
      </c>
      <c r="AQ6" s="278">
        <f>$G6*'2026 Labor Alloc %'!AM6</f>
        <v>0</v>
      </c>
      <c r="AR6" s="278">
        <f>$G6*'2026 Labor Alloc %'!AN6</f>
        <v>0</v>
      </c>
      <c r="AS6" s="278">
        <f>$G6*'2026 Labor Alloc %'!AO6</f>
        <v>0</v>
      </c>
      <c r="AT6" s="278">
        <f>$G6*'2026 Labor Alloc %'!AP6</f>
        <v>0</v>
      </c>
      <c r="AU6" s="278">
        <f>$G6*'2026 Labor Alloc %'!AQ6</f>
        <v>0</v>
      </c>
      <c r="AV6" s="278">
        <f>$G6*'2026 Labor Alloc %'!AR6</f>
        <v>0</v>
      </c>
      <c r="AW6" s="278">
        <f>$G6*'2026 Labor Alloc %'!AS6</f>
        <v>0</v>
      </c>
      <c r="AX6" s="278">
        <f>$G6*'2026 Labor Alloc %'!AT6</f>
        <v>0</v>
      </c>
      <c r="AY6" s="278">
        <f>$G6*'2026 Labor Alloc %'!AU6</f>
        <v>0</v>
      </c>
      <c r="AZ6" s="278">
        <f>SUM(H6:AY6)</f>
        <v>90736.59855000001</v>
      </c>
      <c r="BA6" s="278">
        <f t="shared" ref="BA6:BA37" si="0">G6-AZ6</f>
        <v>0</v>
      </c>
      <c r="BD6" s="123"/>
    </row>
    <row r="7" spans="1:56" ht="12.75">
      <c r="A7" s="66">
        <v>9</v>
      </c>
      <c r="B7" s="66" t="str">
        <f>'Comp 25-26'!A3</f>
        <v>Aly, Edita</v>
      </c>
      <c r="C7" s="66"/>
      <c r="D7" s="66" t="str">
        <f>'Comp 25-26'!C3</f>
        <v>Grant Accountant</v>
      </c>
      <c r="E7" s="66"/>
      <c r="F7" s="66"/>
      <c r="G7" s="74">
        <f>'Comp 25-26'!T3</f>
        <v>60868.797599999998</v>
      </c>
      <c r="H7" s="278">
        <f>$G7*'2026 Labor Alloc %'!D7</f>
        <v>5478.1917839999996</v>
      </c>
      <c r="I7" s="278">
        <f>$G7*'2026 Labor Alloc %'!E7</f>
        <v>0</v>
      </c>
      <c r="J7" s="278">
        <f>$G7*'2026 Labor Alloc %'!F7</f>
        <v>0</v>
      </c>
      <c r="K7" s="278">
        <f>$G7*'2026 Labor Alloc %'!G7</f>
        <v>4869.5038080000004</v>
      </c>
      <c r="L7" s="278">
        <f>$G7*'2026 Labor Alloc %'!H7</f>
        <v>2434.7519040000002</v>
      </c>
      <c r="M7" s="278">
        <f>$G7*'2026 Labor Alloc %'!I7</f>
        <v>0</v>
      </c>
      <c r="N7" s="278">
        <f>$G7*'2026 Labor Alloc %'!J7</f>
        <v>1217.3759520000001</v>
      </c>
      <c r="O7" s="278">
        <f>$G7*'2026 Labor Alloc %'!K7</f>
        <v>6086.8797599999998</v>
      </c>
      <c r="P7" s="278">
        <f>$G7*'2026 Labor Alloc %'!L7</f>
        <v>0</v>
      </c>
      <c r="Q7" s="278">
        <f>$G7*'2026 Labor Alloc %'!M7</f>
        <v>0</v>
      </c>
      <c r="R7" s="278">
        <f>$G7*'2026 Labor Alloc %'!N7</f>
        <v>12173.75952</v>
      </c>
      <c r="S7" s="278">
        <f>$G7*'2026 Labor Alloc %'!O7</f>
        <v>13391.135472</v>
      </c>
      <c r="T7" s="278">
        <f>$G7*'2026 Labor Alloc %'!P7</f>
        <v>10956.383567999999</v>
      </c>
      <c r="U7" s="278">
        <f>$G7*'2026 Labor Alloc %'!Q7</f>
        <v>0</v>
      </c>
      <c r="V7" s="278">
        <f>$G7*'2026 Labor Alloc %'!R7</f>
        <v>0</v>
      </c>
      <c r="W7" s="278">
        <f>$G7*'2026 Labor Alloc %'!S7</f>
        <v>0</v>
      </c>
      <c r="X7" s="278">
        <f>$G7*'2026 Labor Alloc %'!T7</f>
        <v>0</v>
      </c>
      <c r="Y7" s="278">
        <f>$G7*'2026 Labor Alloc %'!U7</f>
        <v>0</v>
      </c>
      <c r="Z7" s="278">
        <f>$G7*'2026 Labor Alloc %'!V7</f>
        <v>0</v>
      </c>
      <c r="AA7" s="278">
        <f>$G7*'2026 Labor Alloc %'!W7</f>
        <v>0</v>
      </c>
      <c r="AB7" s="278">
        <f>$G7*'2026 Labor Alloc %'!X7</f>
        <v>0</v>
      </c>
      <c r="AC7" s="278">
        <f>$G7*'2026 Labor Alloc %'!Y7</f>
        <v>0</v>
      </c>
      <c r="AD7" s="278">
        <f>$G7*'2026 Labor Alloc %'!Z7</f>
        <v>0</v>
      </c>
      <c r="AE7" s="278">
        <f>$G7*'2026 Labor Alloc %'!AA7</f>
        <v>0</v>
      </c>
      <c r="AF7" s="278">
        <f>$G7*'2026 Labor Alloc %'!AB7</f>
        <v>0</v>
      </c>
      <c r="AG7" s="278">
        <f>$G7*'2026 Labor Alloc %'!AC7</f>
        <v>0</v>
      </c>
      <c r="AH7" s="278">
        <f>$G7*'2026 Labor Alloc %'!AD7</f>
        <v>0</v>
      </c>
      <c r="AI7" s="278">
        <f>$G7*'2026 Labor Alloc %'!AE7</f>
        <v>0</v>
      </c>
      <c r="AJ7" s="278">
        <f>$G7*'2026 Labor Alloc %'!AF7</f>
        <v>0</v>
      </c>
      <c r="AK7" s="278">
        <f>$G7*'2026 Labor Alloc %'!AG7</f>
        <v>0</v>
      </c>
      <c r="AL7" s="278">
        <f>$G7*'2026 Labor Alloc %'!AH7</f>
        <v>0</v>
      </c>
      <c r="AM7" s="278">
        <f>$G7*'2026 Labor Alloc %'!AI7</f>
        <v>0</v>
      </c>
      <c r="AN7" s="278">
        <f>$G7*'2026 Labor Alloc %'!AJ7</f>
        <v>0</v>
      </c>
      <c r="AO7" s="278">
        <f>$G7*'2026 Labor Alloc %'!AK7</f>
        <v>0</v>
      </c>
      <c r="AP7" s="278">
        <f>$G7*'2026 Labor Alloc %'!AL7</f>
        <v>0</v>
      </c>
      <c r="AQ7" s="278">
        <f>$G7*'2026 Labor Alloc %'!AM7</f>
        <v>0</v>
      </c>
      <c r="AR7" s="278">
        <f>$G7*'2026 Labor Alloc %'!AN7</f>
        <v>0</v>
      </c>
      <c r="AS7" s="278">
        <f>$G7*'2026 Labor Alloc %'!AO7</f>
        <v>2434.7519040000002</v>
      </c>
      <c r="AT7" s="278">
        <f>$G7*'2026 Labor Alloc %'!AP7</f>
        <v>1826.0639279999998</v>
      </c>
      <c r="AU7" s="278">
        <f>$G7*'2026 Labor Alloc %'!AQ7</f>
        <v>0</v>
      </c>
      <c r="AV7" s="278">
        <f>$G7*'2026 Labor Alloc %'!AR7</f>
        <v>0</v>
      </c>
      <c r="AW7" s="278">
        <f>$G7*'2026 Labor Alloc %'!AS7</f>
        <v>0</v>
      </c>
      <c r="AX7" s="278">
        <f>$G7*'2026 Labor Alloc %'!AT7</f>
        <v>0</v>
      </c>
      <c r="AY7" s="278">
        <f>$G7*'2026 Labor Alloc %'!AU7</f>
        <v>0</v>
      </c>
      <c r="AZ7" s="278">
        <f t="shared" ref="AZ7:AZ70" si="1">SUM(H7:AY7)</f>
        <v>60868.797599999998</v>
      </c>
      <c r="BA7" s="278">
        <f t="shared" si="0"/>
        <v>0</v>
      </c>
      <c r="BD7" s="123"/>
    </row>
    <row r="8" spans="1:56" ht="12.75">
      <c r="A8" s="66">
        <v>56</v>
      </c>
      <c r="B8" s="66" t="str">
        <f>'Comp 25-26'!A4</f>
        <v>Galvan, Cynthia</v>
      </c>
      <c r="C8" s="66"/>
      <c r="D8" s="66" t="str">
        <f>'Comp 25-26'!C4</f>
        <v>GR Program Manager</v>
      </c>
      <c r="E8" s="66"/>
      <c r="F8" s="66"/>
      <c r="G8" s="74">
        <f>'Comp 25-26'!T4</f>
        <v>59674.894987500003</v>
      </c>
      <c r="H8" s="278">
        <f>$G8*'2026 Labor Alloc %'!D8</f>
        <v>0</v>
      </c>
      <c r="I8" s="278">
        <f>$G8*'2026 Labor Alloc %'!E8</f>
        <v>0</v>
      </c>
      <c r="J8" s="278">
        <f>$G8*'2026 Labor Alloc %'!F8</f>
        <v>0</v>
      </c>
      <c r="K8" s="278">
        <f>$G8*'2026 Labor Alloc %'!G8</f>
        <v>0</v>
      </c>
      <c r="L8" s="278">
        <f>$G8*'2026 Labor Alloc %'!H8</f>
        <v>0</v>
      </c>
      <c r="M8" s="278">
        <f>$G8*'2026 Labor Alloc %'!I8</f>
        <v>0</v>
      </c>
      <c r="N8" s="278">
        <f>$G8*'2026 Labor Alloc %'!J8</f>
        <v>0</v>
      </c>
      <c r="O8" s="278">
        <f>$G8*'2026 Labor Alloc %'!K8</f>
        <v>26853.702744375001</v>
      </c>
      <c r="P8" s="278">
        <f>$G8*'2026 Labor Alloc %'!L8</f>
        <v>8951.2342481249998</v>
      </c>
      <c r="Q8" s="278">
        <f>$G8*'2026 Labor Alloc %'!M8</f>
        <v>0</v>
      </c>
      <c r="R8" s="278">
        <f>$G8*'2026 Labor Alloc %'!N8</f>
        <v>0</v>
      </c>
      <c r="S8" s="278">
        <f>$G8*'2026 Labor Alloc %'!O8</f>
        <v>0</v>
      </c>
      <c r="T8" s="278">
        <f>$G8*'2026 Labor Alloc %'!P8</f>
        <v>0</v>
      </c>
      <c r="U8" s="278">
        <f>$G8*'2026 Labor Alloc %'!Q8</f>
        <v>0</v>
      </c>
      <c r="V8" s="278">
        <f>$G8*'2026 Labor Alloc %'!R8</f>
        <v>0</v>
      </c>
      <c r="W8" s="278">
        <f>$G8*'2026 Labor Alloc %'!S8</f>
        <v>8951.2342481249998</v>
      </c>
      <c r="X8" s="278">
        <f>$G8*'2026 Labor Alloc %'!T8</f>
        <v>9547.9831979999999</v>
      </c>
      <c r="Y8" s="278">
        <f>$G8*'2026 Labor Alloc %'!U8</f>
        <v>0</v>
      </c>
      <c r="Z8" s="278">
        <f>$G8*'2026 Labor Alloc %'!V8</f>
        <v>0</v>
      </c>
      <c r="AA8" s="278">
        <f>$G8*'2026 Labor Alloc %'!W8</f>
        <v>0</v>
      </c>
      <c r="AB8" s="278">
        <f>$G8*'2026 Labor Alloc %'!X8</f>
        <v>0</v>
      </c>
      <c r="AC8" s="278">
        <f>$G8*'2026 Labor Alloc %'!Y8</f>
        <v>0</v>
      </c>
      <c r="AD8" s="278">
        <f>$G8*'2026 Labor Alloc %'!Z8</f>
        <v>0</v>
      </c>
      <c r="AE8" s="278">
        <f>$G8*'2026 Labor Alloc %'!AA8</f>
        <v>0</v>
      </c>
      <c r="AF8" s="278">
        <f>$G8*'2026 Labor Alloc %'!AB8</f>
        <v>0</v>
      </c>
      <c r="AG8" s="278">
        <f>$G8*'2026 Labor Alloc %'!AC8</f>
        <v>0</v>
      </c>
      <c r="AH8" s="278">
        <f>$G8*'2026 Labor Alloc %'!AD8</f>
        <v>0</v>
      </c>
      <c r="AI8" s="278">
        <f>$G8*'2026 Labor Alloc %'!AE8</f>
        <v>0</v>
      </c>
      <c r="AJ8" s="278">
        <f>$G8*'2026 Labor Alloc %'!AF8</f>
        <v>0</v>
      </c>
      <c r="AK8" s="278">
        <f>$G8*'2026 Labor Alloc %'!AG8</f>
        <v>0</v>
      </c>
      <c r="AL8" s="278">
        <f>$G8*'2026 Labor Alloc %'!AH8</f>
        <v>0</v>
      </c>
      <c r="AM8" s="278">
        <f>$G8*'2026 Labor Alloc %'!AI8</f>
        <v>0</v>
      </c>
      <c r="AN8" s="278">
        <f>$G8*'2026 Labor Alloc %'!AJ8</f>
        <v>0</v>
      </c>
      <c r="AO8" s="278">
        <f>$G8*'2026 Labor Alloc %'!AK8</f>
        <v>0</v>
      </c>
      <c r="AP8" s="278">
        <f>$G8*'2026 Labor Alloc %'!AL8</f>
        <v>0</v>
      </c>
      <c r="AQ8" s="278">
        <f>$G8*'2026 Labor Alloc %'!AM8</f>
        <v>0</v>
      </c>
      <c r="AR8" s="278">
        <f>$G8*'2026 Labor Alloc %'!AN8</f>
        <v>0</v>
      </c>
      <c r="AS8" s="278">
        <f>$G8*'2026 Labor Alloc %'!AO8</f>
        <v>0</v>
      </c>
      <c r="AT8" s="278">
        <f>$G8*'2026 Labor Alloc %'!AP8</f>
        <v>0</v>
      </c>
      <c r="AU8" s="278">
        <f>$G8*'2026 Labor Alloc %'!AQ8</f>
        <v>5370.7405488750001</v>
      </c>
      <c r="AV8" s="278">
        <f>$G8*'2026 Labor Alloc %'!AR8</f>
        <v>0</v>
      </c>
      <c r="AW8" s="278">
        <f>$G8*'2026 Labor Alloc %'!AS8</f>
        <v>0</v>
      </c>
      <c r="AX8" s="278">
        <f>$G8*'2026 Labor Alloc %'!AT8</f>
        <v>0</v>
      </c>
      <c r="AY8" s="278">
        <f>$G8*'2026 Labor Alloc %'!AU8</f>
        <v>0</v>
      </c>
      <c r="AZ8" s="278">
        <f t="shared" si="1"/>
        <v>59674.894987500003</v>
      </c>
      <c r="BA8" s="278">
        <f t="shared" si="0"/>
        <v>0</v>
      </c>
      <c r="BD8" s="123"/>
    </row>
    <row r="9" spans="1:56" ht="12.75">
      <c r="A9" s="66">
        <v>56</v>
      </c>
      <c r="B9" s="66" t="str">
        <f>'Comp 25-26'!A5</f>
        <v>Arciniegas, Jessica</v>
      </c>
      <c r="C9" s="66"/>
      <c r="D9" s="66" t="str">
        <f>'Comp 25-26'!C5</f>
        <v>HR Generalist</v>
      </c>
      <c r="E9" s="66"/>
      <c r="F9" s="66"/>
      <c r="G9" s="74">
        <f>'Comp 25-26'!T5</f>
        <v>47695.397587500003</v>
      </c>
      <c r="H9" s="278">
        <f>$G9*'2026 Labor Alloc %'!D9</f>
        <v>10492.987469250002</v>
      </c>
      <c r="I9" s="278">
        <f>$G9*'2026 Labor Alloc %'!E9</f>
        <v>7631.2636140000004</v>
      </c>
      <c r="J9" s="278">
        <f>$G9*'2026 Labor Alloc %'!F9</f>
        <v>0</v>
      </c>
      <c r="K9" s="278">
        <f>$G9*'2026 Labor Alloc %'!G9</f>
        <v>0</v>
      </c>
      <c r="L9" s="278">
        <f>$G9*'2026 Labor Alloc %'!H9</f>
        <v>1907.8159035000001</v>
      </c>
      <c r="M9" s="278">
        <f>$G9*'2026 Labor Alloc %'!I9</f>
        <v>0</v>
      </c>
      <c r="N9" s="278">
        <f>$G9*'2026 Labor Alloc %'!J9</f>
        <v>2861.7238552500003</v>
      </c>
      <c r="O9" s="278">
        <f>$G9*'2026 Labor Alloc %'!K9</f>
        <v>2384.7698793750001</v>
      </c>
      <c r="P9" s="278">
        <f>$G9*'2026 Labor Alloc %'!L9</f>
        <v>0</v>
      </c>
      <c r="Q9" s="278">
        <f>$G9*'2026 Labor Alloc %'!M9</f>
        <v>0</v>
      </c>
      <c r="R9" s="278">
        <f>$G9*'2026 Labor Alloc %'!N9</f>
        <v>0</v>
      </c>
      <c r="S9" s="278">
        <f>$G9*'2026 Labor Alloc %'!O9</f>
        <v>0</v>
      </c>
      <c r="T9" s="278">
        <f>$G9*'2026 Labor Alloc %'!P9</f>
        <v>0</v>
      </c>
      <c r="U9" s="278">
        <f>$G9*'2026 Labor Alloc %'!Q9</f>
        <v>0</v>
      </c>
      <c r="V9" s="278">
        <f>$G9*'2026 Labor Alloc %'!R9</f>
        <v>0</v>
      </c>
      <c r="W9" s="278">
        <f>$G9*'2026 Labor Alloc %'!S9</f>
        <v>0</v>
      </c>
      <c r="X9" s="278">
        <f>$G9*'2026 Labor Alloc %'!T9</f>
        <v>0</v>
      </c>
      <c r="Y9" s="278">
        <f>$G9*'2026 Labor Alloc %'!U9</f>
        <v>0</v>
      </c>
      <c r="Z9" s="278">
        <f>$G9*'2026 Labor Alloc %'!V9</f>
        <v>0</v>
      </c>
      <c r="AA9" s="278">
        <f>$G9*'2026 Labor Alloc %'!W9</f>
        <v>0</v>
      </c>
      <c r="AB9" s="278">
        <f>$G9*'2026 Labor Alloc %'!X9</f>
        <v>0</v>
      </c>
      <c r="AC9" s="278">
        <f>$G9*'2026 Labor Alloc %'!Y9</f>
        <v>0</v>
      </c>
      <c r="AD9" s="278">
        <f>$G9*'2026 Labor Alloc %'!Z9</f>
        <v>0</v>
      </c>
      <c r="AE9" s="278">
        <f>$G9*'2026 Labor Alloc %'!AA9</f>
        <v>0</v>
      </c>
      <c r="AF9" s="278">
        <f>$G9*'2026 Labor Alloc %'!AB9</f>
        <v>0</v>
      </c>
      <c r="AG9" s="278">
        <f>$G9*'2026 Labor Alloc %'!AC9</f>
        <v>0</v>
      </c>
      <c r="AH9" s="278">
        <f>$G9*'2026 Labor Alloc %'!AD9</f>
        <v>12877.757348625002</v>
      </c>
      <c r="AI9" s="278">
        <f>$G9*'2026 Labor Alloc %'!AE9</f>
        <v>9539.0795175000003</v>
      </c>
      <c r="AJ9" s="278">
        <f>$G9*'2026 Labor Alloc %'!AF9</f>
        <v>0</v>
      </c>
      <c r="AK9" s="278">
        <f>$G9*'2026 Labor Alloc %'!AG9</f>
        <v>0</v>
      </c>
      <c r="AL9" s="278">
        <f>$G9*'2026 Labor Alloc %'!AH9</f>
        <v>0</v>
      </c>
      <c r="AM9" s="278">
        <f>$G9*'2026 Labor Alloc %'!AI9</f>
        <v>0</v>
      </c>
      <c r="AN9" s="278">
        <f>$G9*'2026 Labor Alloc %'!AJ9</f>
        <v>0</v>
      </c>
      <c r="AO9" s="278">
        <f>$G9*'2026 Labor Alloc %'!AK9</f>
        <v>0</v>
      </c>
      <c r="AP9" s="278">
        <f>$G9*'2026 Labor Alloc %'!AL9</f>
        <v>0</v>
      </c>
      <c r="AQ9" s="278">
        <f>$G9*'2026 Labor Alloc %'!AM9</f>
        <v>0</v>
      </c>
      <c r="AR9" s="278">
        <f>$G9*'2026 Labor Alloc %'!AN9</f>
        <v>0</v>
      </c>
      <c r="AS9" s="278">
        <f>$G9*'2026 Labor Alloc %'!AO9</f>
        <v>0</v>
      </c>
      <c r="AT9" s="278">
        <f>$G9*'2026 Labor Alloc %'!AP9</f>
        <v>0</v>
      </c>
      <c r="AU9" s="278">
        <f>$G9*'2026 Labor Alloc %'!AQ9</f>
        <v>0</v>
      </c>
      <c r="AV9" s="278">
        <f>$G9*'2026 Labor Alloc %'!AR9</f>
        <v>0</v>
      </c>
      <c r="AW9" s="278">
        <f>$G9*'2026 Labor Alloc %'!AS9</f>
        <v>0</v>
      </c>
      <c r="AX9" s="278">
        <f>$G9*'2026 Labor Alloc %'!AT9</f>
        <v>0</v>
      </c>
      <c r="AY9" s="278">
        <f>$G9*'2026 Labor Alloc %'!AU9</f>
        <v>0</v>
      </c>
      <c r="AZ9" s="278">
        <f t="shared" si="1"/>
        <v>47695.397587500003</v>
      </c>
      <c r="BA9" s="278">
        <f t="shared" si="0"/>
        <v>0</v>
      </c>
      <c r="BD9" s="123"/>
    </row>
    <row r="10" spans="1:56" ht="12.75">
      <c r="A10" s="66">
        <v>64</v>
      </c>
      <c r="B10" s="66" t="str">
        <f>'Comp 25-26'!A6</f>
        <v>Arias, Michelle</v>
      </c>
      <c r="C10" s="66"/>
      <c r="D10" s="66" t="str">
        <f>'Comp 25-26'!C6</f>
        <v>VA Case Manager</v>
      </c>
      <c r="E10" s="66"/>
      <c r="F10" s="66"/>
      <c r="G10" s="74">
        <f>'Comp 25-26'!T6</f>
        <v>50589.09375</v>
      </c>
      <c r="H10" s="278">
        <f>$G10*'2026 Labor Alloc %'!D10</f>
        <v>0</v>
      </c>
      <c r="I10" s="278">
        <f>$G10*'2026 Labor Alloc %'!E10</f>
        <v>0</v>
      </c>
      <c r="J10" s="278">
        <f>$G10*'2026 Labor Alloc %'!F10</f>
        <v>0</v>
      </c>
      <c r="K10" s="278">
        <f>$G10*'2026 Labor Alloc %'!G10</f>
        <v>0</v>
      </c>
      <c r="L10" s="278">
        <f>$G10*'2026 Labor Alloc %'!H10</f>
        <v>0</v>
      </c>
      <c r="M10" s="278">
        <f>$G10*'2026 Labor Alloc %'!I10</f>
        <v>0</v>
      </c>
      <c r="N10" s="278">
        <f>$G10*'2026 Labor Alloc %'!J10</f>
        <v>0</v>
      </c>
      <c r="O10" s="278">
        <f>$G10*'2026 Labor Alloc %'!K10</f>
        <v>0</v>
      </c>
      <c r="P10" s="278">
        <f>$G10*'2026 Labor Alloc %'!L10</f>
        <v>0</v>
      </c>
      <c r="Q10" s="278">
        <f>$G10*'2026 Labor Alloc %'!M10</f>
        <v>0</v>
      </c>
      <c r="R10" s="278">
        <f>$G10*'2026 Labor Alloc %'!N10</f>
        <v>0</v>
      </c>
      <c r="S10" s="278">
        <f>$G10*'2026 Labor Alloc %'!O10</f>
        <v>0</v>
      </c>
      <c r="T10" s="278">
        <f>$G10*'2026 Labor Alloc %'!P10</f>
        <v>0</v>
      </c>
      <c r="U10" s="278">
        <f>$G10*'2026 Labor Alloc %'!Q10</f>
        <v>0</v>
      </c>
      <c r="V10" s="278">
        <f>$G10*'2026 Labor Alloc %'!R10</f>
        <v>0</v>
      </c>
      <c r="W10" s="278">
        <f>$G10*'2026 Labor Alloc %'!S10</f>
        <v>0</v>
      </c>
      <c r="X10" s="278">
        <f>$G10*'2026 Labor Alloc %'!T10</f>
        <v>0</v>
      </c>
      <c r="Y10" s="278">
        <f>$G10*'2026 Labor Alloc %'!U10</f>
        <v>0</v>
      </c>
      <c r="Z10" s="278">
        <f>$G10*'2026 Labor Alloc %'!V10</f>
        <v>0</v>
      </c>
      <c r="AA10" s="278">
        <f>$G10*'2026 Labor Alloc %'!W10</f>
        <v>0</v>
      </c>
      <c r="AB10" s="278">
        <f>$G10*'2026 Labor Alloc %'!X10</f>
        <v>0</v>
      </c>
      <c r="AC10" s="278">
        <f>$G10*'2026 Labor Alloc %'!Y10</f>
        <v>0</v>
      </c>
      <c r="AD10" s="278">
        <f>$G10*'2026 Labor Alloc %'!Z10</f>
        <v>0</v>
      </c>
      <c r="AE10" s="278">
        <f>$G10*'2026 Labor Alloc %'!AA10</f>
        <v>0</v>
      </c>
      <c r="AF10" s="278">
        <f>$G10*'2026 Labor Alloc %'!AB10</f>
        <v>0</v>
      </c>
      <c r="AG10" s="278">
        <f>$G10*'2026 Labor Alloc %'!AC10</f>
        <v>0</v>
      </c>
      <c r="AH10" s="278">
        <f>$G10*'2026 Labor Alloc %'!AD10</f>
        <v>37941.8203125</v>
      </c>
      <c r="AI10" s="278">
        <f>$G10*'2026 Labor Alloc %'!AE10</f>
        <v>12647.2734375</v>
      </c>
      <c r="AJ10" s="278">
        <f>$G10*'2026 Labor Alloc %'!AF10</f>
        <v>0</v>
      </c>
      <c r="AK10" s="278">
        <f>$G10*'2026 Labor Alloc %'!AG10</f>
        <v>0</v>
      </c>
      <c r="AL10" s="278">
        <f>$G10*'2026 Labor Alloc %'!AH10</f>
        <v>0</v>
      </c>
      <c r="AM10" s="278">
        <f>$G10*'2026 Labor Alloc %'!AI10</f>
        <v>0</v>
      </c>
      <c r="AN10" s="278">
        <f>$G10*'2026 Labor Alloc %'!AJ10</f>
        <v>0</v>
      </c>
      <c r="AO10" s="278">
        <f>$G10*'2026 Labor Alloc %'!AK10</f>
        <v>0</v>
      </c>
      <c r="AP10" s="278">
        <f>$G10*'2026 Labor Alloc %'!AL10</f>
        <v>0</v>
      </c>
      <c r="AQ10" s="278">
        <f>$G10*'2026 Labor Alloc %'!AM10</f>
        <v>0</v>
      </c>
      <c r="AR10" s="278">
        <f>$G10*'2026 Labor Alloc %'!AN10</f>
        <v>0</v>
      </c>
      <c r="AS10" s="278">
        <f>$G10*'2026 Labor Alloc %'!AO10</f>
        <v>0</v>
      </c>
      <c r="AT10" s="278">
        <f>$G10*'2026 Labor Alloc %'!AP10</f>
        <v>0</v>
      </c>
      <c r="AU10" s="278">
        <f>$G10*'2026 Labor Alloc %'!AQ10</f>
        <v>0</v>
      </c>
      <c r="AV10" s="278">
        <f>$G10*'2026 Labor Alloc %'!AR10</f>
        <v>0</v>
      </c>
      <c r="AW10" s="278">
        <f>$G10*'2026 Labor Alloc %'!AS10</f>
        <v>0</v>
      </c>
      <c r="AX10" s="278">
        <f>$G10*'2026 Labor Alloc %'!AT10</f>
        <v>0</v>
      </c>
      <c r="AY10" s="278">
        <f>$G10*'2026 Labor Alloc %'!AU10</f>
        <v>0</v>
      </c>
      <c r="AZ10" s="278">
        <f t="shared" si="1"/>
        <v>50589.09375</v>
      </c>
      <c r="BA10" s="278">
        <f t="shared" si="0"/>
        <v>0</v>
      </c>
      <c r="BD10" s="123"/>
    </row>
    <row r="11" spans="1:56" ht="12.75">
      <c r="A11" s="66">
        <v>75</v>
      </c>
      <c r="B11" s="66" t="str">
        <f>'Comp 25-26'!A7</f>
        <v>Ayers, Hubert</v>
      </c>
      <c r="C11" s="66"/>
      <c r="D11" s="66" t="str">
        <f>'Comp 25-26'!C7</f>
        <v>Finance Manager</v>
      </c>
      <c r="E11" s="66"/>
      <c r="F11" s="66"/>
      <c r="G11" s="74">
        <f>'Comp 25-26'!T7</f>
        <v>93210</v>
      </c>
      <c r="H11" s="278">
        <f>$G11*'2026 Labor Alloc %'!D11</f>
        <v>41478.449999999997</v>
      </c>
      <c r="I11" s="278">
        <f>$G11*'2026 Labor Alloc %'!E11</f>
        <v>7456.8</v>
      </c>
      <c r="J11" s="278">
        <f>$G11*'2026 Labor Alloc %'!F11</f>
        <v>0</v>
      </c>
      <c r="K11" s="278">
        <f>$G11*'2026 Labor Alloc %'!G11</f>
        <v>0</v>
      </c>
      <c r="L11" s="278">
        <f>$G11*'2026 Labor Alloc %'!H11</f>
        <v>0</v>
      </c>
      <c r="M11" s="278">
        <f>$G11*'2026 Labor Alloc %'!I11</f>
        <v>0</v>
      </c>
      <c r="N11" s="278">
        <f>$G11*'2026 Labor Alloc %'!J11</f>
        <v>1864.2</v>
      </c>
      <c r="O11" s="278">
        <f>$G11*'2026 Labor Alloc %'!K11</f>
        <v>4660.5</v>
      </c>
      <c r="P11" s="278">
        <f>$G11*'2026 Labor Alloc %'!L11</f>
        <v>0</v>
      </c>
      <c r="Q11" s="278">
        <f>$G11*'2026 Labor Alloc %'!M11</f>
        <v>0</v>
      </c>
      <c r="R11" s="278">
        <f>$G11*'2026 Labor Alloc %'!N11</f>
        <v>0</v>
      </c>
      <c r="S11" s="278">
        <f>$G11*'2026 Labor Alloc %'!O11</f>
        <v>0</v>
      </c>
      <c r="T11" s="278">
        <f>$G11*'2026 Labor Alloc %'!P11</f>
        <v>0</v>
      </c>
      <c r="U11" s="278">
        <f>$G11*'2026 Labor Alloc %'!Q11</f>
        <v>0</v>
      </c>
      <c r="V11" s="278">
        <f>$G11*'2026 Labor Alloc %'!R11</f>
        <v>0</v>
      </c>
      <c r="W11" s="278">
        <f>$G11*'2026 Labor Alloc %'!S11</f>
        <v>2796.2999999999997</v>
      </c>
      <c r="X11" s="278">
        <f>$G11*'2026 Labor Alloc %'!T11</f>
        <v>932.1</v>
      </c>
      <c r="Y11" s="278">
        <f>$G11*'2026 Labor Alloc %'!U11</f>
        <v>0</v>
      </c>
      <c r="Z11" s="278">
        <f>$G11*'2026 Labor Alloc %'!V11</f>
        <v>0</v>
      </c>
      <c r="AA11" s="278">
        <f>$G11*'2026 Labor Alloc %'!W11</f>
        <v>0</v>
      </c>
      <c r="AB11" s="278">
        <f>$G11*'2026 Labor Alloc %'!X11</f>
        <v>0</v>
      </c>
      <c r="AC11" s="278">
        <f>$G11*'2026 Labor Alloc %'!Y11</f>
        <v>0</v>
      </c>
      <c r="AD11" s="278">
        <f>$G11*'2026 Labor Alloc %'!Z11</f>
        <v>0</v>
      </c>
      <c r="AE11" s="278">
        <f>$G11*'2026 Labor Alloc %'!AA11</f>
        <v>0</v>
      </c>
      <c r="AF11" s="278">
        <f>$G11*'2026 Labor Alloc %'!AB11</f>
        <v>0</v>
      </c>
      <c r="AG11" s="278">
        <f>$G11*'2026 Labor Alloc %'!AC11</f>
        <v>0</v>
      </c>
      <c r="AH11" s="278">
        <f>$G11*'2026 Labor Alloc %'!AD11</f>
        <v>13981.5</v>
      </c>
      <c r="AI11" s="278">
        <f>$G11*'2026 Labor Alloc %'!AE11</f>
        <v>17243.849999999999</v>
      </c>
      <c r="AJ11" s="278">
        <f>$G11*'2026 Labor Alloc %'!AF11</f>
        <v>0</v>
      </c>
      <c r="AK11" s="278">
        <f>$G11*'2026 Labor Alloc %'!AG11</f>
        <v>0</v>
      </c>
      <c r="AL11" s="278">
        <f>$G11*'2026 Labor Alloc %'!AH11</f>
        <v>0</v>
      </c>
      <c r="AM11" s="278">
        <f>$G11*'2026 Labor Alloc %'!AI11</f>
        <v>0</v>
      </c>
      <c r="AN11" s="278">
        <f>$G11*'2026 Labor Alloc %'!AJ11</f>
        <v>0</v>
      </c>
      <c r="AO11" s="278">
        <f>$G11*'2026 Labor Alloc %'!AK11</f>
        <v>0</v>
      </c>
      <c r="AP11" s="278">
        <f>$G11*'2026 Labor Alloc %'!AL11</f>
        <v>0</v>
      </c>
      <c r="AQ11" s="278">
        <f>$G11*'2026 Labor Alloc %'!AM11</f>
        <v>0</v>
      </c>
      <c r="AR11" s="278">
        <f>$G11*'2026 Labor Alloc %'!AN11</f>
        <v>0</v>
      </c>
      <c r="AS11" s="278">
        <f>$G11*'2026 Labor Alloc %'!AO11</f>
        <v>2796.2999999999997</v>
      </c>
      <c r="AT11" s="278">
        <f>$G11*'2026 Labor Alloc %'!AP11</f>
        <v>0</v>
      </c>
      <c r="AU11" s="278">
        <f>$G11*'2026 Labor Alloc %'!AQ11</f>
        <v>0</v>
      </c>
      <c r="AV11" s="278">
        <f>$G11*'2026 Labor Alloc %'!AR11</f>
        <v>0</v>
      </c>
      <c r="AW11" s="278">
        <f>$G11*'2026 Labor Alloc %'!AS11</f>
        <v>0</v>
      </c>
      <c r="AX11" s="278">
        <f>$G11*'2026 Labor Alloc %'!AT11</f>
        <v>0</v>
      </c>
      <c r="AY11" s="278">
        <f>$G11*'2026 Labor Alloc %'!AU11</f>
        <v>0</v>
      </c>
      <c r="AZ11" s="278">
        <f t="shared" si="1"/>
        <v>93210.000000000015</v>
      </c>
      <c r="BA11" s="278">
        <f t="shared" si="0"/>
        <v>0</v>
      </c>
      <c r="BD11" s="123"/>
    </row>
    <row r="12" spans="1:56" ht="12.75">
      <c r="A12" s="66">
        <v>77</v>
      </c>
      <c r="B12" s="66" t="str">
        <f>'Comp 25-26'!A8</f>
        <v>Vacant</v>
      </c>
      <c r="C12" s="66"/>
      <c r="D12" s="66" t="str">
        <f>'Comp 25-26'!C8</f>
        <v>Controller</v>
      </c>
      <c r="E12" s="66"/>
      <c r="F12" s="66"/>
      <c r="G12" s="74">
        <f>'Comp 25-26'!T8</f>
        <v>95716.53</v>
      </c>
      <c r="H12" s="278">
        <f>$G12*'2026 Labor Alloc %'!D12</f>
        <v>14357.479499999999</v>
      </c>
      <c r="I12" s="278">
        <f>$G12*'2026 Labor Alloc %'!E12</f>
        <v>9571.6530000000002</v>
      </c>
      <c r="J12" s="278">
        <f>$G12*'2026 Labor Alloc %'!F12</f>
        <v>0</v>
      </c>
      <c r="K12" s="278">
        <f>$G12*'2026 Labor Alloc %'!G12</f>
        <v>7657.3224</v>
      </c>
      <c r="L12" s="278">
        <f>$G12*'2026 Labor Alloc %'!H12</f>
        <v>0</v>
      </c>
      <c r="M12" s="278">
        <f>$G12*'2026 Labor Alloc %'!I12</f>
        <v>0</v>
      </c>
      <c r="N12" s="278">
        <f>$G12*'2026 Labor Alloc %'!J12</f>
        <v>0</v>
      </c>
      <c r="O12" s="278">
        <f>$G12*'2026 Labor Alloc %'!K12</f>
        <v>14357.479499999999</v>
      </c>
      <c r="P12" s="278">
        <f>$G12*'2026 Labor Alloc %'!L12</f>
        <v>0</v>
      </c>
      <c r="Q12" s="278">
        <f>$G12*'2026 Labor Alloc %'!M12</f>
        <v>0</v>
      </c>
      <c r="R12" s="278">
        <f>$G12*'2026 Labor Alloc %'!N12</f>
        <v>8614.4876999999997</v>
      </c>
      <c r="S12" s="278">
        <f>$G12*'2026 Labor Alloc %'!O12</f>
        <v>0</v>
      </c>
      <c r="T12" s="278">
        <f>$G12*'2026 Labor Alloc %'!P12</f>
        <v>1914.3306</v>
      </c>
      <c r="U12" s="278">
        <f>$G12*'2026 Labor Alloc %'!Q12</f>
        <v>0</v>
      </c>
      <c r="V12" s="278">
        <f>$G12*'2026 Labor Alloc %'!R12</f>
        <v>0</v>
      </c>
      <c r="W12" s="278">
        <f>$G12*'2026 Labor Alloc %'!S12</f>
        <v>4785.8265000000001</v>
      </c>
      <c r="X12" s="278">
        <f>$G12*'2026 Labor Alloc %'!T12</f>
        <v>4785.8265000000001</v>
      </c>
      <c r="Y12" s="278">
        <f>$G12*'2026 Labor Alloc %'!U12</f>
        <v>0</v>
      </c>
      <c r="Z12" s="278">
        <f>$G12*'2026 Labor Alloc %'!V12</f>
        <v>0</v>
      </c>
      <c r="AA12" s="278">
        <f>$G12*'2026 Labor Alloc %'!W12</f>
        <v>2871.4958999999999</v>
      </c>
      <c r="AB12" s="278">
        <f>$G12*'2026 Labor Alloc %'!X12</f>
        <v>0</v>
      </c>
      <c r="AC12" s="278">
        <f>$G12*'2026 Labor Alloc %'!Y12</f>
        <v>0</v>
      </c>
      <c r="AD12" s="278">
        <f>$G12*'2026 Labor Alloc %'!Z12</f>
        <v>0</v>
      </c>
      <c r="AE12" s="278">
        <f>$G12*'2026 Labor Alloc %'!AA12</f>
        <v>0</v>
      </c>
      <c r="AF12" s="278">
        <f>$G12*'2026 Labor Alloc %'!AB12</f>
        <v>0</v>
      </c>
      <c r="AG12" s="278">
        <f>$G12*'2026 Labor Alloc %'!AC12</f>
        <v>0</v>
      </c>
      <c r="AH12" s="278">
        <f>$G12*'2026 Labor Alloc %'!AD12</f>
        <v>14357.479499999999</v>
      </c>
      <c r="AI12" s="278">
        <f>$G12*'2026 Labor Alloc %'!AE12</f>
        <v>12443.1489</v>
      </c>
      <c r="AJ12" s="278">
        <f>$G12*'2026 Labor Alloc %'!AF12</f>
        <v>0</v>
      </c>
      <c r="AK12" s="278">
        <f>$G12*'2026 Labor Alloc %'!AG12</f>
        <v>0</v>
      </c>
      <c r="AL12" s="278">
        <f>$G12*'2026 Labor Alloc %'!AH12</f>
        <v>0</v>
      </c>
      <c r="AM12" s="278">
        <f>$G12*'2026 Labor Alloc %'!AI12</f>
        <v>0</v>
      </c>
      <c r="AN12" s="278">
        <f>$G12*'2026 Labor Alloc %'!AJ12</f>
        <v>0</v>
      </c>
      <c r="AO12" s="278">
        <f>$G12*'2026 Labor Alloc %'!AK12</f>
        <v>0</v>
      </c>
      <c r="AP12" s="278">
        <f>$G12*'2026 Labor Alloc %'!AL12</f>
        <v>0</v>
      </c>
      <c r="AQ12" s="278">
        <f>$G12*'2026 Labor Alloc %'!AM12</f>
        <v>0</v>
      </c>
      <c r="AR12" s="278">
        <f>$G12*'2026 Labor Alloc %'!AN12</f>
        <v>0</v>
      </c>
      <c r="AS12" s="278">
        <f>$G12*'2026 Labor Alloc %'!AO12</f>
        <v>0</v>
      </c>
      <c r="AT12" s="278">
        <f>$G12*'2026 Labor Alloc %'!AP12</f>
        <v>0</v>
      </c>
      <c r="AU12" s="278">
        <f>$G12*'2026 Labor Alloc %'!AQ12</f>
        <v>0</v>
      </c>
      <c r="AV12" s="278">
        <f>$G12*'2026 Labor Alloc %'!AR12</f>
        <v>0</v>
      </c>
      <c r="AW12" s="278">
        <f>$G12*'2026 Labor Alloc %'!AS12</f>
        <v>0</v>
      </c>
      <c r="AX12" s="278">
        <f>$G12*'2026 Labor Alloc %'!AT12</f>
        <v>0</v>
      </c>
      <c r="AY12" s="278">
        <f>$G12*'2026 Labor Alloc %'!AU12</f>
        <v>0</v>
      </c>
      <c r="AZ12" s="278">
        <f t="shared" si="1"/>
        <v>95716.53</v>
      </c>
      <c r="BA12" s="278">
        <f t="shared" si="0"/>
        <v>0</v>
      </c>
      <c r="BD12" s="123"/>
    </row>
    <row r="13" spans="1:56" ht="12.75">
      <c r="A13" s="66">
        <v>80</v>
      </c>
      <c r="B13" s="66" t="str">
        <f>'Comp 25-26'!A9</f>
        <v>Barrows, Tracy Lili</v>
      </c>
      <c r="C13" s="66"/>
      <c r="D13" s="66" t="str">
        <f>'Comp 25-26'!C9</f>
        <v>ADRC Helpline Manager</v>
      </c>
      <c r="E13" s="66"/>
      <c r="F13" s="66"/>
      <c r="G13" s="74">
        <f>'Comp 25-26'!T9</f>
        <v>76826.351524000012</v>
      </c>
      <c r="H13" s="278">
        <f>$G13*'2026 Labor Alloc %'!D13</f>
        <v>0</v>
      </c>
      <c r="I13" s="278">
        <f>$G13*'2026 Labor Alloc %'!E13</f>
        <v>49937.128490600007</v>
      </c>
      <c r="J13" s="278">
        <f>$G13*'2026 Labor Alloc %'!F13</f>
        <v>0</v>
      </c>
      <c r="K13" s="278">
        <f>$G13*'2026 Labor Alloc %'!G13</f>
        <v>0</v>
      </c>
      <c r="L13" s="278">
        <f>$G13*'2026 Labor Alloc %'!H13</f>
        <v>0</v>
      </c>
      <c r="M13" s="278">
        <f>$G13*'2026 Labor Alloc %'!I13</f>
        <v>0</v>
      </c>
      <c r="N13" s="278">
        <f>$G13*'2026 Labor Alloc %'!J13</f>
        <v>0</v>
      </c>
      <c r="O13" s="278">
        <f>$G13*'2026 Labor Alloc %'!K13</f>
        <v>0</v>
      </c>
      <c r="P13" s="278">
        <f>$G13*'2026 Labor Alloc %'!L13</f>
        <v>0</v>
      </c>
      <c r="Q13" s="278">
        <f>$G13*'2026 Labor Alloc %'!M13</f>
        <v>0</v>
      </c>
      <c r="R13" s="278">
        <f>$G13*'2026 Labor Alloc %'!N13</f>
        <v>0</v>
      </c>
      <c r="S13" s="278">
        <f>$G13*'2026 Labor Alloc %'!O13</f>
        <v>0</v>
      </c>
      <c r="T13" s="278">
        <f>$G13*'2026 Labor Alloc %'!P13</f>
        <v>0</v>
      </c>
      <c r="U13" s="278">
        <f>$G13*'2026 Labor Alloc %'!Q13</f>
        <v>0</v>
      </c>
      <c r="V13" s="278">
        <f>$G13*'2026 Labor Alloc %'!R13</f>
        <v>0</v>
      </c>
      <c r="W13" s="278">
        <f>$G13*'2026 Labor Alloc %'!S13</f>
        <v>0</v>
      </c>
      <c r="X13" s="278">
        <f>$G13*'2026 Labor Alloc %'!T13</f>
        <v>0</v>
      </c>
      <c r="Y13" s="278">
        <f>$G13*'2026 Labor Alloc %'!U13</f>
        <v>0</v>
      </c>
      <c r="Z13" s="278">
        <f>$G13*'2026 Labor Alloc %'!V13</f>
        <v>0</v>
      </c>
      <c r="AA13" s="278">
        <f>$G13*'2026 Labor Alloc %'!W13</f>
        <v>0</v>
      </c>
      <c r="AB13" s="278">
        <f>$G13*'2026 Labor Alloc %'!X13</f>
        <v>0</v>
      </c>
      <c r="AC13" s="278">
        <f>$G13*'2026 Labor Alloc %'!Y13</f>
        <v>0</v>
      </c>
      <c r="AD13" s="278">
        <f>$G13*'2026 Labor Alloc %'!Z13</f>
        <v>0</v>
      </c>
      <c r="AE13" s="278">
        <f>$G13*'2026 Labor Alloc %'!AA13</f>
        <v>0</v>
      </c>
      <c r="AF13" s="278">
        <f>$G13*'2026 Labor Alloc %'!AB13</f>
        <v>0</v>
      </c>
      <c r="AG13" s="278">
        <f>$G13*'2026 Labor Alloc %'!AC13</f>
        <v>0</v>
      </c>
      <c r="AH13" s="278">
        <f>$G13*'2026 Labor Alloc %'!AD13</f>
        <v>0</v>
      </c>
      <c r="AI13" s="278">
        <f>$G13*'2026 Labor Alloc %'!AE13</f>
        <v>0</v>
      </c>
      <c r="AJ13" s="278">
        <f>$G13*'2026 Labor Alloc %'!AF13</f>
        <v>0</v>
      </c>
      <c r="AK13" s="278">
        <f>$G13*'2026 Labor Alloc %'!AG13</f>
        <v>0</v>
      </c>
      <c r="AL13" s="278">
        <f>$G13*'2026 Labor Alloc %'!AH13</f>
        <v>0</v>
      </c>
      <c r="AM13" s="278">
        <f>$G13*'2026 Labor Alloc %'!AI13</f>
        <v>0</v>
      </c>
      <c r="AN13" s="278">
        <f>$G13*'2026 Labor Alloc %'!AJ13</f>
        <v>0</v>
      </c>
      <c r="AO13" s="278">
        <f>$G13*'2026 Labor Alloc %'!AK13</f>
        <v>0</v>
      </c>
      <c r="AP13" s="278">
        <f>$G13*'2026 Labor Alloc %'!AL13</f>
        <v>0</v>
      </c>
      <c r="AQ13" s="278">
        <f>$G13*'2026 Labor Alloc %'!AM13</f>
        <v>0</v>
      </c>
      <c r="AR13" s="278">
        <f>$G13*'2026 Labor Alloc %'!AN13</f>
        <v>0</v>
      </c>
      <c r="AS13" s="278">
        <f>$G13*'2026 Labor Alloc %'!AO13</f>
        <v>0</v>
      </c>
      <c r="AT13" s="278">
        <f>$G13*'2026 Labor Alloc %'!AP13</f>
        <v>0</v>
      </c>
      <c r="AU13" s="278">
        <f>$G13*'2026 Labor Alloc %'!AQ13</f>
        <v>26889.223033400001</v>
      </c>
      <c r="AV13" s="278">
        <f>$G13*'2026 Labor Alloc %'!AR13</f>
        <v>0</v>
      </c>
      <c r="AW13" s="278">
        <f>$G13*'2026 Labor Alloc %'!AS13</f>
        <v>0</v>
      </c>
      <c r="AX13" s="278">
        <f>$G13*'2026 Labor Alloc %'!AT13</f>
        <v>0</v>
      </c>
      <c r="AY13" s="278">
        <f>$G13*'2026 Labor Alloc %'!AU13</f>
        <v>0</v>
      </c>
      <c r="AZ13" s="278">
        <f t="shared" si="1"/>
        <v>76826.351524000012</v>
      </c>
      <c r="BA13" s="278">
        <f t="shared" si="0"/>
        <v>0</v>
      </c>
      <c r="BD13" s="123"/>
    </row>
    <row r="14" spans="1:56" ht="12.75">
      <c r="A14" s="66">
        <v>377</v>
      </c>
      <c r="B14" s="66" t="str">
        <f>'Comp 25-26'!A10</f>
        <v>Dijana Radak</v>
      </c>
      <c r="C14" s="66"/>
      <c r="D14" s="66" t="str">
        <f>'Comp 25-26'!C10</f>
        <v>Mental Health Counselor</v>
      </c>
      <c r="E14" s="66"/>
      <c r="F14" s="66"/>
      <c r="G14" s="74">
        <f>'Comp 25-26'!T10</f>
        <v>64511.212350000002</v>
      </c>
      <c r="H14" s="278">
        <f>$G14*'2026 Labor Alloc %'!D14</f>
        <v>0</v>
      </c>
      <c r="I14" s="278">
        <f>$G14*'2026 Labor Alloc %'!E14</f>
        <v>0</v>
      </c>
      <c r="J14" s="278">
        <f>$G14*'2026 Labor Alloc %'!F14</f>
        <v>47738.297139000002</v>
      </c>
      <c r="K14" s="278">
        <f>$G14*'2026 Labor Alloc %'!G14</f>
        <v>0</v>
      </c>
      <c r="L14" s="278">
        <f>$G14*'2026 Labor Alloc %'!H14</f>
        <v>0</v>
      </c>
      <c r="M14" s="278">
        <f>$G14*'2026 Labor Alloc %'!I14</f>
        <v>0</v>
      </c>
      <c r="N14" s="278">
        <f>$G14*'2026 Labor Alloc %'!J14</f>
        <v>0</v>
      </c>
      <c r="O14" s="278">
        <f>$G14*'2026 Labor Alloc %'!K14</f>
        <v>0</v>
      </c>
      <c r="P14" s="278">
        <f>$G14*'2026 Labor Alloc %'!L14</f>
        <v>0</v>
      </c>
      <c r="Q14" s="278">
        <f>$G14*'2026 Labor Alloc %'!M14</f>
        <v>0</v>
      </c>
      <c r="R14" s="278">
        <f>$G14*'2026 Labor Alloc %'!N14</f>
        <v>0</v>
      </c>
      <c r="S14" s="278">
        <f>$G14*'2026 Labor Alloc %'!O14</f>
        <v>0</v>
      </c>
      <c r="T14" s="278">
        <f>$G14*'2026 Labor Alloc %'!P14</f>
        <v>0</v>
      </c>
      <c r="U14" s="278">
        <f>$G14*'2026 Labor Alloc %'!Q14</f>
        <v>0</v>
      </c>
      <c r="V14" s="278">
        <f>$G14*'2026 Labor Alloc %'!R14</f>
        <v>0</v>
      </c>
      <c r="W14" s="278">
        <f>$G14*'2026 Labor Alloc %'!S14</f>
        <v>0</v>
      </c>
      <c r="X14" s="278">
        <f>$G14*'2026 Labor Alloc %'!T14</f>
        <v>0</v>
      </c>
      <c r="Y14" s="278">
        <f>$G14*'2026 Labor Alloc %'!U14</f>
        <v>0</v>
      </c>
      <c r="Z14" s="278">
        <f>$G14*'2026 Labor Alloc %'!V14</f>
        <v>0</v>
      </c>
      <c r="AA14" s="278">
        <f>$G14*'2026 Labor Alloc %'!W14</f>
        <v>0</v>
      </c>
      <c r="AB14" s="278">
        <f>$G14*'2026 Labor Alloc %'!X14</f>
        <v>16772.915211</v>
      </c>
      <c r="AC14" s="278">
        <f>$G14*'2026 Labor Alloc %'!Y14</f>
        <v>0</v>
      </c>
      <c r="AD14" s="278">
        <f>$G14*'2026 Labor Alloc %'!Z14</f>
        <v>0</v>
      </c>
      <c r="AE14" s="278">
        <f>$G14*'2026 Labor Alloc %'!AA14</f>
        <v>0</v>
      </c>
      <c r="AF14" s="278">
        <f>$G14*'2026 Labor Alloc %'!AB14</f>
        <v>0</v>
      </c>
      <c r="AG14" s="278">
        <f>$G14*'2026 Labor Alloc %'!AC14</f>
        <v>0</v>
      </c>
      <c r="AH14" s="278">
        <f>$G14*'2026 Labor Alloc %'!AD14</f>
        <v>0</v>
      </c>
      <c r="AI14" s="278">
        <f>$G14*'2026 Labor Alloc %'!AE14</f>
        <v>0</v>
      </c>
      <c r="AJ14" s="278">
        <f>$G14*'2026 Labor Alloc %'!AF14</f>
        <v>0</v>
      </c>
      <c r="AK14" s="278">
        <f>$G14*'2026 Labor Alloc %'!AG14</f>
        <v>0</v>
      </c>
      <c r="AL14" s="278">
        <f>$G14*'2026 Labor Alloc %'!AH14</f>
        <v>0</v>
      </c>
      <c r="AM14" s="278">
        <f>$G14*'2026 Labor Alloc %'!AI14</f>
        <v>0</v>
      </c>
      <c r="AN14" s="278">
        <f>$G14*'2026 Labor Alloc %'!AJ14</f>
        <v>0</v>
      </c>
      <c r="AO14" s="278">
        <f>$G14*'2026 Labor Alloc %'!AK14</f>
        <v>0</v>
      </c>
      <c r="AP14" s="278">
        <f>$G14*'2026 Labor Alloc %'!AL14</f>
        <v>0</v>
      </c>
      <c r="AQ14" s="278">
        <f>$G14*'2026 Labor Alloc %'!AM14</f>
        <v>0</v>
      </c>
      <c r="AR14" s="278">
        <f>$G14*'2026 Labor Alloc %'!AN14</f>
        <v>0</v>
      </c>
      <c r="AS14" s="278">
        <f>$G14*'2026 Labor Alloc %'!AO14</f>
        <v>0</v>
      </c>
      <c r="AT14" s="278">
        <f>$G14*'2026 Labor Alloc %'!AP14</f>
        <v>0</v>
      </c>
      <c r="AU14" s="278">
        <f>$G14*'2026 Labor Alloc %'!AQ14</f>
        <v>0</v>
      </c>
      <c r="AV14" s="278">
        <f>$G14*'2026 Labor Alloc %'!AR14</f>
        <v>0</v>
      </c>
      <c r="AW14" s="278">
        <f>$G14*'2026 Labor Alloc %'!AS14</f>
        <v>0</v>
      </c>
      <c r="AX14" s="278">
        <f>$G14*'2026 Labor Alloc %'!AT14</f>
        <v>0</v>
      </c>
      <c r="AY14" s="278">
        <f>$G14*'2026 Labor Alloc %'!AU14</f>
        <v>0</v>
      </c>
      <c r="AZ14" s="278">
        <f t="shared" si="1"/>
        <v>64511.212350000002</v>
      </c>
      <c r="BA14" s="278">
        <f t="shared" si="0"/>
        <v>0</v>
      </c>
      <c r="BD14" s="123"/>
    </row>
    <row r="15" spans="1:56" ht="12.75">
      <c r="A15" s="66">
        <v>83</v>
      </c>
      <c r="B15" s="66" t="str">
        <f>'Comp 25-26'!A11</f>
        <v>Vacant</v>
      </c>
      <c r="C15" s="277"/>
      <c r="D15" s="66" t="str">
        <f>'Comp 25-26'!C11</f>
        <v>Medicaid Benefits Counselor</v>
      </c>
      <c r="E15" s="66"/>
      <c r="F15" s="66"/>
      <c r="G15" s="74">
        <f>'Comp 25-26'!T11</f>
        <v>41257.125</v>
      </c>
      <c r="H15" s="278">
        <f>$G15*'2026 Labor Alloc %'!D15</f>
        <v>0</v>
      </c>
      <c r="I15" s="278">
        <f>$G15*'2026 Labor Alloc %'!E15</f>
        <v>0</v>
      </c>
      <c r="J15" s="278">
        <f>$G15*'2026 Labor Alloc %'!F15</f>
        <v>0</v>
      </c>
      <c r="K15" s="278">
        <f>$G15*'2026 Labor Alloc %'!G15</f>
        <v>0</v>
      </c>
      <c r="L15" s="278">
        <f>$G15*'2026 Labor Alloc %'!H15</f>
        <v>0</v>
      </c>
      <c r="M15" s="278">
        <f>$G15*'2026 Labor Alloc %'!I15</f>
        <v>0</v>
      </c>
      <c r="N15" s="278">
        <f>$G15*'2026 Labor Alloc %'!J15</f>
        <v>0</v>
      </c>
      <c r="O15" s="278">
        <f>$G15*'2026 Labor Alloc %'!K15</f>
        <v>0</v>
      </c>
      <c r="P15" s="278">
        <f>$G15*'2026 Labor Alloc %'!L15</f>
        <v>0</v>
      </c>
      <c r="Q15" s="278">
        <f>$G15*'2026 Labor Alloc %'!M15</f>
        <v>0</v>
      </c>
      <c r="R15" s="278">
        <f>$G15*'2026 Labor Alloc %'!N15</f>
        <v>0</v>
      </c>
      <c r="S15" s="278">
        <f>$G15*'2026 Labor Alloc %'!O15</f>
        <v>0</v>
      </c>
      <c r="T15" s="278">
        <f>$G15*'2026 Labor Alloc %'!P15</f>
        <v>0</v>
      </c>
      <c r="U15" s="278">
        <f>$G15*'2026 Labor Alloc %'!Q15</f>
        <v>0</v>
      </c>
      <c r="V15" s="278">
        <f>$G15*'2026 Labor Alloc %'!R15</f>
        <v>0</v>
      </c>
      <c r="W15" s="278">
        <f>$G15*'2026 Labor Alloc %'!S15</f>
        <v>0</v>
      </c>
      <c r="X15" s="278">
        <f>$G15*'2026 Labor Alloc %'!T15</f>
        <v>0</v>
      </c>
      <c r="Y15" s="278">
        <f>$G15*'2026 Labor Alloc %'!U15</f>
        <v>0</v>
      </c>
      <c r="Z15" s="278">
        <f>$G15*'2026 Labor Alloc %'!V15</f>
        <v>0</v>
      </c>
      <c r="AA15" s="278">
        <f>$G15*'2026 Labor Alloc %'!W15</f>
        <v>0</v>
      </c>
      <c r="AB15" s="278">
        <f>$G15*'2026 Labor Alloc %'!X15</f>
        <v>0</v>
      </c>
      <c r="AC15" s="278">
        <f>$G15*'2026 Labor Alloc %'!Y15</f>
        <v>41257.125</v>
      </c>
      <c r="AD15" s="278">
        <f>$G15*'2026 Labor Alloc %'!Z15</f>
        <v>0</v>
      </c>
      <c r="AE15" s="278">
        <f>$G15*'2026 Labor Alloc %'!AA15</f>
        <v>0</v>
      </c>
      <c r="AF15" s="278">
        <f>$G15*'2026 Labor Alloc %'!AB15</f>
        <v>0</v>
      </c>
      <c r="AG15" s="278">
        <f>$G15*'2026 Labor Alloc %'!AC15</f>
        <v>0</v>
      </c>
      <c r="AH15" s="278">
        <f>$G15*'2026 Labor Alloc %'!AD15</f>
        <v>0</v>
      </c>
      <c r="AI15" s="278">
        <f>$G15*'2026 Labor Alloc %'!AE15</f>
        <v>0</v>
      </c>
      <c r="AJ15" s="278">
        <f>$G15*'2026 Labor Alloc %'!AF15</f>
        <v>0</v>
      </c>
      <c r="AK15" s="278">
        <f>$G15*'2026 Labor Alloc %'!AG15</f>
        <v>0</v>
      </c>
      <c r="AL15" s="278">
        <f>$G15*'2026 Labor Alloc %'!AH15</f>
        <v>0</v>
      </c>
      <c r="AM15" s="278">
        <f>$G15*'2026 Labor Alloc %'!AI15</f>
        <v>0</v>
      </c>
      <c r="AN15" s="278">
        <f>$G15*'2026 Labor Alloc %'!AJ15</f>
        <v>0</v>
      </c>
      <c r="AO15" s="278">
        <f>$G15*'2026 Labor Alloc %'!AK15</f>
        <v>0</v>
      </c>
      <c r="AP15" s="278">
        <f>$G15*'2026 Labor Alloc %'!AL15</f>
        <v>0</v>
      </c>
      <c r="AQ15" s="278">
        <f>$G15*'2026 Labor Alloc %'!AM15</f>
        <v>0</v>
      </c>
      <c r="AR15" s="278">
        <f>$G15*'2026 Labor Alloc %'!AN15</f>
        <v>0</v>
      </c>
      <c r="AS15" s="278">
        <f>$G15*'2026 Labor Alloc %'!AO15</f>
        <v>0</v>
      </c>
      <c r="AT15" s="278">
        <f>$G15*'2026 Labor Alloc %'!AP15</f>
        <v>0</v>
      </c>
      <c r="AU15" s="278">
        <f>$G15*'2026 Labor Alloc %'!AQ15</f>
        <v>0</v>
      </c>
      <c r="AV15" s="278">
        <f>$G15*'2026 Labor Alloc %'!AR15</f>
        <v>0</v>
      </c>
      <c r="AW15" s="278">
        <f>$G15*'2026 Labor Alloc %'!AS15</f>
        <v>0</v>
      </c>
      <c r="AX15" s="278">
        <f>$G15*'2026 Labor Alloc %'!AT15</f>
        <v>0</v>
      </c>
      <c r="AY15" s="278">
        <f>$G15*'2026 Labor Alloc %'!AU15</f>
        <v>0</v>
      </c>
      <c r="AZ15" s="278">
        <f t="shared" si="1"/>
        <v>41257.125</v>
      </c>
      <c r="BA15" s="278">
        <f t="shared" si="0"/>
        <v>0</v>
      </c>
      <c r="BD15" s="123"/>
    </row>
    <row r="16" spans="1:56" ht="12.75">
      <c r="A16" s="66">
        <v>92</v>
      </c>
      <c r="B16" s="66" t="str">
        <f>'Comp 25-26'!A12</f>
        <v>Brown, Sandra</v>
      </c>
      <c r="C16" s="277"/>
      <c r="D16" s="66" t="str">
        <f>'Comp 25-26'!C12</f>
        <v>Human Resources Manager</v>
      </c>
      <c r="E16" s="66"/>
      <c r="F16" s="66"/>
      <c r="G16" s="74">
        <f>'Comp 25-26'!T12</f>
        <v>88085.730037500005</v>
      </c>
      <c r="H16" s="278">
        <f>$G16*'2026 Labor Alloc %'!D16</f>
        <v>88085.730037500005</v>
      </c>
      <c r="I16" s="278">
        <f>$G16*'2026 Labor Alloc %'!E16</f>
        <v>0</v>
      </c>
      <c r="J16" s="278">
        <f>$G16*'2026 Labor Alloc %'!F16</f>
        <v>0</v>
      </c>
      <c r="K16" s="278">
        <f>$G16*'2026 Labor Alloc %'!G16</f>
        <v>0</v>
      </c>
      <c r="L16" s="278">
        <f>$G16*'2026 Labor Alloc %'!H16</f>
        <v>0</v>
      </c>
      <c r="M16" s="278">
        <f>$G16*'2026 Labor Alloc %'!I16</f>
        <v>0</v>
      </c>
      <c r="N16" s="278">
        <f>$G16*'2026 Labor Alloc %'!J16</f>
        <v>0</v>
      </c>
      <c r="O16" s="278">
        <f>$G16*'2026 Labor Alloc %'!K16</f>
        <v>0</v>
      </c>
      <c r="P16" s="278">
        <f>$G16*'2026 Labor Alloc %'!L16</f>
        <v>0</v>
      </c>
      <c r="Q16" s="278">
        <f>$G16*'2026 Labor Alloc %'!M16</f>
        <v>0</v>
      </c>
      <c r="R16" s="278">
        <f>$G16*'2026 Labor Alloc %'!N16</f>
        <v>0</v>
      </c>
      <c r="S16" s="278">
        <f>$G16*'2026 Labor Alloc %'!O16</f>
        <v>0</v>
      </c>
      <c r="T16" s="278">
        <f>$G16*'2026 Labor Alloc %'!P16</f>
        <v>0</v>
      </c>
      <c r="U16" s="278">
        <f>$G16*'2026 Labor Alloc %'!Q16</f>
        <v>0</v>
      </c>
      <c r="V16" s="278">
        <f>$G16*'2026 Labor Alloc %'!R16</f>
        <v>0</v>
      </c>
      <c r="W16" s="278">
        <f>$G16*'2026 Labor Alloc %'!S16</f>
        <v>0</v>
      </c>
      <c r="X16" s="278">
        <f>$G16*'2026 Labor Alloc %'!T16</f>
        <v>0</v>
      </c>
      <c r="Y16" s="278">
        <f>$G16*'2026 Labor Alloc %'!U16</f>
        <v>0</v>
      </c>
      <c r="Z16" s="278">
        <f>$G16*'2026 Labor Alloc %'!V16</f>
        <v>0</v>
      </c>
      <c r="AA16" s="278">
        <f>$G16*'2026 Labor Alloc %'!W16</f>
        <v>0</v>
      </c>
      <c r="AB16" s="278">
        <f>$G16*'2026 Labor Alloc %'!X16</f>
        <v>0</v>
      </c>
      <c r="AC16" s="278">
        <f>$G16*'2026 Labor Alloc %'!Y16</f>
        <v>0</v>
      </c>
      <c r="AD16" s="278">
        <f>$G16*'2026 Labor Alloc %'!Z16</f>
        <v>0</v>
      </c>
      <c r="AE16" s="278">
        <f>$G16*'2026 Labor Alloc %'!AA16</f>
        <v>0</v>
      </c>
      <c r="AF16" s="278">
        <f>$G16*'2026 Labor Alloc %'!AB16</f>
        <v>0</v>
      </c>
      <c r="AG16" s="278">
        <f>$G16*'2026 Labor Alloc %'!AC16</f>
        <v>0</v>
      </c>
      <c r="AH16" s="278">
        <f>$G16*'2026 Labor Alloc %'!AD16</f>
        <v>0</v>
      </c>
      <c r="AI16" s="278">
        <f>$G16*'2026 Labor Alloc %'!AE16</f>
        <v>0</v>
      </c>
      <c r="AJ16" s="278">
        <f>$G16*'2026 Labor Alloc %'!AF16</f>
        <v>0</v>
      </c>
      <c r="AK16" s="278">
        <f>$G16*'2026 Labor Alloc %'!AG16</f>
        <v>0</v>
      </c>
      <c r="AL16" s="278">
        <f>$G16*'2026 Labor Alloc %'!AH16</f>
        <v>0</v>
      </c>
      <c r="AM16" s="278">
        <f>$G16*'2026 Labor Alloc %'!AI16</f>
        <v>0</v>
      </c>
      <c r="AN16" s="278">
        <f>$G16*'2026 Labor Alloc %'!AJ16</f>
        <v>0</v>
      </c>
      <c r="AO16" s="278">
        <f>$G16*'2026 Labor Alloc %'!AK16</f>
        <v>0</v>
      </c>
      <c r="AP16" s="278">
        <f>$G16*'2026 Labor Alloc %'!AL16</f>
        <v>0</v>
      </c>
      <c r="AQ16" s="278">
        <f>$G16*'2026 Labor Alloc %'!AM16</f>
        <v>0</v>
      </c>
      <c r="AR16" s="278">
        <f>$G16*'2026 Labor Alloc %'!AN16</f>
        <v>0</v>
      </c>
      <c r="AS16" s="278">
        <f>$G16*'2026 Labor Alloc %'!AO16</f>
        <v>0</v>
      </c>
      <c r="AT16" s="278">
        <f>$G16*'2026 Labor Alloc %'!AP16</f>
        <v>0</v>
      </c>
      <c r="AU16" s="278">
        <f>$G16*'2026 Labor Alloc %'!AQ16</f>
        <v>0</v>
      </c>
      <c r="AV16" s="278">
        <f>$G16*'2026 Labor Alloc %'!AR16</f>
        <v>0</v>
      </c>
      <c r="AW16" s="278">
        <f>$G16*'2026 Labor Alloc %'!AS16</f>
        <v>0</v>
      </c>
      <c r="AX16" s="278">
        <f>$G16*'2026 Labor Alloc %'!AT16</f>
        <v>0</v>
      </c>
      <c r="AY16" s="278">
        <f>$G16*'2026 Labor Alloc %'!AU16</f>
        <v>0</v>
      </c>
      <c r="AZ16" s="278">
        <f t="shared" si="1"/>
        <v>88085.730037500005</v>
      </c>
      <c r="BA16" s="278">
        <f t="shared" si="0"/>
        <v>0</v>
      </c>
      <c r="BD16" s="123"/>
    </row>
    <row r="17" spans="1:56" ht="12.75">
      <c r="A17" s="66">
        <v>115</v>
      </c>
      <c r="B17" s="66" t="str">
        <f>'Comp 25-26'!A13</f>
        <v>Butakov, Jessica</v>
      </c>
      <c r="C17" s="66"/>
      <c r="D17" s="66" t="str">
        <f>'Comp 25-26'!C13</f>
        <v>Medicaid Benefits Counselor</v>
      </c>
      <c r="E17" s="66"/>
      <c r="F17" s="66"/>
      <c r="G17" s="74">
        <f>'Comp 25-26'!T13</f>
        <v>47270.449199999995</v>
      </c>
      <c r="H17" s="278">
        <f>$G17*'2026 Labor Alloc %'!D17</f>
        <v>0</v>
      </c>
      <c r="I17" s="278">
        <f>$G17*'2026 Labor Alloc %'!E17</f>
        <v>0</v>
      </c>
      <c r="J17" s="278">
        <f>$G17*'2026 Labor Alloc %'!F17</f>
        <v>0</v>
      </c>
      <c r="K17" s="278">
        <f>$G17*'2026 Labor Alloc %'!G17</f>
        <v>0</v>
      </c>
      <c r="L17" s="278">
        <f>$G17*'2026 Labor Alloc %'!H17</f>
        <v>0</v>
      </c>
      <c r="M17" s="278">
        <f>$G17*'2026 Labor Alloc %'!I17</f>
        <v>0</v>
      </c>
      <c r="N17" s="278">
        <f>$G17*'2026 Labor Alloc %'!J17</f>
        <v>0</v>
      </c>
      <c r="O17" s="278">
        <f>$G17*'2026 Labor Alloc %'!K17</f>
        <v>0</v>
      </c>
      <c r="P17" s="278">
        <f>$G17*'2026 Labor Alloc %'!L17</f>
        <v>0</v>
      </c>
      <c r="Q17" s="278">
        <f>$G17*'2026 Labor Alloc %'!M17</f>
        <v>0</v>
      </c>
      <c r="R17" s="278">
        <f>$G17*'2026 Labor Alloc %'!N17</f>
        <v>0</v>
      </c>
      <c r="S17" s="278">
        <f>$G17*'2026 Labor Alloc %'!O17</f>
        <v>0</v>
      </c>
      <c r="T17" s="278">
        <f>$G17*'2026 Labor Alloc %'!P17</f>
        <v>0</v>
      </c>
      <c r="U17" s="278">
        <f>$G17*'2026 Labor Alloc %'!Q17</f>
        <v>0</v>
      </c>
      <c r="V17" s="278">
        <f>$G17*'2026 Labor Alloc %'!R17</f>
        <v>0</v>
      </c>
      <c r="W17" s="278">
        <f>$G17*'2026 Labor Alloc %'!S17</f>
        <v>0</v>
      </c>
      <c r="X17" s="278">
        <f>$G17*'2026 Labor Alloc %'!T17</f>
        <v>0</v>
      </c>
      <c r="Y17" s="278">
        <f>$G17*'2026 Labor Alloc %'!U17</f>
        <v>0</v>
      </c>
      <c r="Z17" s="278">
        <f>$G17*'2026 Labor Alloc %'!V17</f>
        <v>0</v>
      </c>
      <c r="AA17" s="278">
        <f>$G17*'2026 Labor Alloc %'!W17</f>
        <v>0</v>
      </c>
      <c r="AB17" s="278">
        <f>$G17*'2026 Labor Alloc %'!X17</f>
        <v>0</v>
      </c>
      <c r="AC17" s="278">
        <f>$G17*'2026 Labor Alloc %'!Y17</f>
        <v>47270.449199999995</v>
      </c>
      <c r="AD17" s="278">
        <f>$G17*'2026 Labor Alloc %'!Z17</f>
        <v>0</v>
      </c>
      <c r="AE17" s="278">
        <f>$G17*'2026 Labor Alloc %'!AA17</f>
        <v>0</v>
      </c>
      <c r="AF17" s="278">
        <f>$G17*'2026 Labor Alloc %'!AB17</f>
        <v>0</v>
      </c>
      <c r="AG17" s="278">
        <f>$G17*'2026 Labor Alloc %'!AC17</f>
        <v>0</v>
      </c>
      <c r="AH17" s="278">
        <f>$G17*'2026 Labor Alloc %'!AD17</f>
        <v>0</v>
      </c>
      <c r="AI17" s="278">
        <f>$G17*'2026 Labor Alloc %'!AE17</f>
        <v>0</v>
      </c>
      <c r="AJ17" s="278">
        <f>$G17*'2026 Labor Alloc %'!AF17</f>
        <v>0</v>
      </c>
      <c r="AK17" s="278">
        <f>$G17*'2026 Labor Alloc %'!AG17</f>
        <v>0</v>
      </c>
      <c r="AL17" s="278">
        <f>$G17*'2026 Labor Alloc %'!AH17</f>
        <v>0</v>
      </c>
      <c r="AM17" s="278">
        <f>$G17*'2026 Labor Alloc %'!AI17</f>
        <v>0</v>
      </c>
      <c r="AN17" s="278">
        <f>$G17*'2026 Labor Alloc %'!AJ17</f>
        <v>0</v>
      </c>
      <c r="AO17" s="278">
        <f>$G17*'2026 Labor Alloc %'!AK17</f>
        <v>0</v>
      </c>
      <c r="AP17" s="278">
        <f>$G17*'2026 Labor Alloc %'!AL17</f>
        <v>0</v>
      </c>
      <c r="AQ17" s="278">
        <f>$G17*'2026 Labor Alloc %'!AM17</f>
        <v>0</v>
      </c>
      <c r="AR17" s="278">
        <f>$G17*'2026 Labor Alloc %'!AN17</f>
        <v>0</v>
      </c>
      <c r="AS17" s="278">
        <f>$G17*'2026 Labor Alloc %'!AO17</f>
        <v>0</v>
      </c>
      <c r="AT17" s="278">
        <f>$G17*'2026 Labor Alloc %'!AP17</f>
        <v>0</v>
      </c>
      <c r="AU17" s="278">
        <f>$G17*'2026 Labor Alloc %'!AQ17</f>
        <v>0</v>
      </c>
      <c r="AV17" s="278">
        <f>$G17*'2026 Labor Alloc %'!AR17</f>
        <v>0</v>
      </c>
      <c r="AW17" s="278">
        <f>$G17*'2026 Labor Alloc %'!AS17</f>
        <v>0</v>
      </c>
      <c r="AX17" s="278">
        <f>$G17*'2026 Labor Alloc %'!AT17</f>
        <v>0</v>
      </c>
      <c r="AY17" s="278">
        <f>$G17*'2026 Labor Alloc %'!AU17</f>
        <v>0</v>
      </c>
      <c r="AZ17" s="278">
        <f t="shared" si="1"/>
        <v>47270.449199999995</v>
      </c>
      <c r="BA17" s="278">
        <f t="shared" si="0"/>
        <v>0</v>
      </c>
      <c r="BD17" s="123"/>
    </row>
    <row r="18" spans="1:56" ht="12.75">
      <c r="A18" s="66">
        <v>117</v>
      </c>
      <c r="B18" s="66" t="str">
        <f>'Comp 25-26'!A14</f>
        <v>Callahan-Ross, Lisa</v>
      </c>
      <c r="C18" s="66"/>
      <c r="D18" s="66" t="str">
        <f>'Comp 25-26'!C14</f>
        <v>Intake Specialist</v>
      </c>
      <c r="E18" s="66"/>
      <c r="F18" s="66"/>
      <c r="G18" s="74">
        <f>'Comp 25-26'!T14</f>
        <v>44113.689750000005</v>
      </c>
      <c r="H18" s="278">
        <f>$G18*'2026 Labor Alloc %'!D18</f>
        <v>0</v>
      </c>
      <c r="I18" s="278">
        <f>$G18*'2026 Labor Alloc %'!E18</f>
        <v>0</v>
      </c>
      <c r="J18" s="278">
        <f>$G18*'2026 Labor Alloc %'!F18</f>
        <v>0</v>
      </c>
      <c r="K18" s="278">
        <f>$G18*'2026 Labor Alloc %'!G18</f>
        <v>0</v>
      </c>
      <c r="L18" s="278">
        <f>$G18*'2026 Labor Alloc %'!H18</f>
        <v>0</v>
      </c>
      <c r="M18" s="278">
        <f>$G18*'2026 Labor Alloc %'!I18</f>
        <v>0</v>
      </c>
      <c r="N18" s="278">
        <f>$G18*'2026 Labor Alloc %'!J18</f>
        <v>0</v>
      </c>
      <c r="O18" s="278">
        <f>$G18*'2026 Labor Alloc %'!K18</f>
        <v>33526.404210000001</v>
      </c>
      <c r="P18" s="278">
        <f>$G18*'2026 Labor Alloc %'!L18</f>
        <v>10587.285540000001</v>
      </c>
      <c r="Q18" s="278">
        <f>$G18*'2026 Labor Alloc %'!M18</f>
        <v>0</v>
      </c>
      <c r="R18" s="278">
        <f>$G18*'2026 Labor Alloc %'!N18</f>
        <v>0</v>
      </c>
      <c r="S18" s="278">
        <f>$G18*'2026 Labor Alloc %'!O18</f>
        <v>0</v>
      </c>
      <c r="T18" s="278">
        <f>$G18*'2026 Labor Alloc %'!P18</f>
        <v>0</v>
      </c>
      <c r="U18" s="278">
        <f>$G18*'2026 Labor Alloc %'!Q18</f>
        <v>0</v>
      </c>
      <c r="V18" s="278">
        <f>$G18*'2026 Labor Alloc %'!R18</f>
        <v>0</v>
      </c>
      <c r="W18" s="278">
        <f>$G18*'2026 Labor Alloc %'!S18</f>
        <v>0</v>
      </c>
      <c r="X18" s="278">
        <f>$G18*'2026 Labor Alloc %'!T18</f>
        <v>0</v>
      </c>
      <c r="Y18" s="278">
        <f>$G18*'2026 Labor Alloc %'!U18</f>
        <v>0</v>
      </c>
      <c r="Z18" s="278">
        <f>$G18*'2026 Labor Alloc %'!V18</f>
        <v>0</v>
      </c>
      <c r="AA18" s="278">
        <f>$G18*'2026 Labor Alloc %'!W18</f>
        <v>0</v>
      </c>
      <c r="AB18" s="278">
        <f>$G18*'2026 Labor Alloc %'!X18</f>
        <v>0</v>
      </c>
      <c r="AC18" s="278">
        <f>$G18*'2026 Labor Alloc %'!Y18</f>
        <v>0</v>
      </c>
      <c r="AD18" s="278">
        <f>$G18*'2026 Labor Alloc %'!Z18</f>
        <v>0</v>
      </c>
      <c r="AE18" s="278">
        <f>$G18*'2026 Labor Alloc %'!AA18</f>
        <v>0</v>
      </c>
      <c r="AF18" s="278">
        <f>$G18*'2026 Labor Alloc %'!AB18</f>
        <v>0</v>
      </c>
      <c r="AG18" s="278">
        <f>$G18*'2026 Labor Alloc %'!AC18</f>
        <v>0</v>
      </c>
      <c r="AH18" s="278">
        <f>$G18*'2026 Labor Alloc %'!AD18</f>
        <v>0</v>
      </c>
      <c r="AI18" s="278">
        <f>$G18*'2026 Labor Alloc %'!AE18</f>
        <v>0</v>
      </c>
      <c r="AJ18" s="278">
        <f>$G18*'2026 Labor Alloc %'!AF18</f>
        <v>0</v>
      </c>
      <c r="AK18" s="278">
        <f>$G18*'2026 Labor Alloc %'!AG18</f>
        <v>0</v>
      </c>
      <c r="AL18" s="278">
        <f>$G18*'2026 Labor Alloc %'!AH18</f>
        <v>0</v>
      </c>
      <c r="AM18" s="278">
        <f>$G18*'2026 Labor Alloc %'!AI18</f>
        <v>0</v>
      </c>
      <c r="AN18" s="278">
        <f>$G18*'2026 Labor Alloc %'!AJ18</f>
        <v>0</v>
      </c>
      <c r="AO18" s="278">
        <f>$G18*'2026 Labor Alloc %'!AK18</f>
        <v>0</v>
      </c>
      <c r="AP18" s="278">
        <f>$G18*'2026 Labor Alloc %'!AL18</f>
        <v>0</v>
      </c>
      <c r="AQ18" s="278">
        <f>$G18*'2026 Labor Alloc %'!AM18</f>
        <v>0</v>
      </c>
      <c r="AR18" s="278">
        <f>$G18*'2026 Labor Alloc %'!AN18</f>
        <v>0</v>
      </c>
      <c r="AS18" s="278">
        <f>$G18*'2026 Labor Alloc %'!AO18</f>
        <v>0</v>
      </c>
      <c r="AT18" s="278">
        <f>$G18*'2026 Labor Alloc %'!AP18</f>
        <v>0</v>
      </c>
      <c r="AU18" s="278">
        <f>$G18*'2026 Labor Alloc %'!AQ18</f>
        <v>0</v>
      </c>
      <c r="AV18" s="278">
        <f>$G18*'2026 Labor Alloc %'!AR18</f>
        <v>0</v>
      </c>
      <c r="AW18" s="278">
        <f>$G18*'2026 Labor Alloc %'!AS18</f>
        <v>0</v>
      </c>
      <c r="AX18" s="278">
        <f>$G18*'2026 Labor Alloc %'!AT18</f>
        <v>0</v>
      </c>
      <c r="AY18" s="278">
        <f>$G18*'2026 Labor Alloc %'!AU18</f>
        <v>0</v>
      </c>
      <c r="AZ18" s="278">
        <f t="shared" si="1"/>
        <v>44113.689750000005</v>
      </c>
      <c r="BA18" s="278">
        <f t="shared" si="0"/>
        <v>0</v>
      </c>
      <c r="BD18" s="123"/>
    </row>
    <row r="19" spans="1:56" ht="12.75">
      <c r="A19" s="66">
        <v>117</v>
      </c>
      <c r="B19" s="66" t="str">
        <f>'Comp 25-26'!A15</f>
        <v>Carr, Leah Danielle</v>
      </c>
      <c r="C19" s="66"/>
      <c r="D19" s="66" t="str">
        <f>'Comp 25-26'!C15</f>
        <v>Medicaid Benefits Counselor Coordinator</v>
      </c>
      <c r="E19" s="66"/>
      <c r="F19" s="66"/>
      <c r="G19" s="74">
        <f>'Comp 25-26'!T15</f>
        <v>64976.632012499998</v>
      </c>
      <c r="H19" s="278">
        <f>$G19*'2026 Labor Alloc %'!D19</f>
        <v>0</v>
      </c>
      <c r="I19" s="278">
        <f>$G19*'2026 Labor Alloc %'!E19</f>
        <v>0</v>
      </c>
      <c r="J19" s="278">
        <f>$G19*'2026 Labor Alloc %'!F19</f>
        <v>0</v>
      </c>
      <c r="K19" s="278">
        <f>$G19*'2026 Labor Alloc %'!G19</f>
        <v>0</v>
      </c>
      <c r="L19" s="278">
        <f>$G19*'2026 Labor Alloc %'!H19</f>
        <v>0</v>
      </c>
      <c r="M19" s="278">
        <f>$G19*'2026 Labor Alloc %'!I19</f>
        <v>0</v>
      </c>
      <c r="N19" s="278">
        <f>$G19*'2026 Labor Alloc %'!J19</f>
        <v>0</v>
      </c>
      <c r="O19" s="278">
        <f>$G19*'2026 Labor Alloc %'!K19</f>
        <v>0</v>
      </c>
      <c r="P19" s="278">
        <f>$G19*'2026 Labor Alloc %'!L19</f>
        <v>0</v>
      </c>
      <c r="Q19" s="278">
        <f>$G19*'2026 Labor Alloc %'!M19</f>
        <v>0</v>
      </c>
      <c r="R19" s="278">
        <f>$G19*'2026 Labor Alloc %'!N19</f>
        <v>0</v>
      </c>
      <c r="S19" s="278">
        <f>$G19*'2026 Labor Alloc %'!O19</f>
        <v>0</v>
      </c>
      <c r="T19" s="278">
        <f>$G19*'2026 Labor Alloc %'!P19</f>
        <v>0</v>
      </c>
      <c r="U19" s="278">
        <f>$G19*'2026 Labor Alloc %'!Q19</f>
        <v>0</v>
      </c>
      <c r="V19" s="278">
        <f>$G19*'2026 Labor Alloc %'!R19</f>
        <v>0</v>
      </c>
      <c r="W19" s="278">
        <f>$G19*'2026 Labor Alloc %'!S19</f>
        <v>0</v>
      </c>
      <c r="X19" s="278">
        <f>$G19*'2026 Labor Alloc %'!T19</f>
        <v>0</v>
      </c>
      <c r="Y19" s="278">
        <f>$G19*'2026 Labor Alloc %'!U19</f>
        <v>19492.98960375</v>
      </c>
      <c r="Z19" s="278">
        <f>$G19*'2026 Labor Alloc %'!V19</f>
        <v>0</v>
      </c>
      <c r="AA19" s="278">
        <f>$G19*'2026 Labor Alloc %'!W19</f>
        <v>0</v>
      </c>
      <c r="AB19" s="278">
        <f>$G19*'2026 Labor Alloc %'!X19</f>
        <v>0</v>
      </c>
      <c r="AC19" s="278">
        <f>$G19*'2026 Labor Alloc %'!Y19</f>
        <v>45483.642408749998</v>
      </c>
      <c r="AD19" s="278">
        <f>$G19*'2026 Labor Alloc %'!Z19</f>
        <v>0</v>
      </c>
      <c r="AE19" s="278">
        <f>$G19*'2026 Labor Alloc %'!AA19</f>
        <v>0</v>
      </c>
      <c r="AF19" s="278">
        <f>$G19*'2026 Labor Alloc %'!AB19</f>
        <v>0</v>
      </c>
      <c r="AG19" s="278">
        <f>$G19*'2026 Labor Alloc %'!AC19</f>
        <v>0</v>
      </c>
      <c r="AH19" s="278">
        <f>$G19*'2026 Labor Alloc %'!AD19</f>
        <v>0</v>
      </c>
      <c r="AI19" s="278">
        <f>$G19*'2026 Labor Alloc %'!AE19</f>
        <v>0</v>
      </c>
      <c r="AJ19" s="278">
        <f>$G19*'2026 Labor Alloc %'!AF19</f>
        <v>0</v>
      </c>
      <c r="AK19" s="278">
        <f>$G19*'2026 Labor Alloc %'!AG19</f>
        <v>0</v>
      </c>
      <c r="AL19" s="278">
        <f>$G19*'2026 Labor Alloc %'!AH19</f>
        <v>0</v>
      </c>
      <c r="AM19" s="278">
        <f>$G19*'2026 Labor Alloc %'!AI19</f>
        <v>0</v>
      </c>
      <c r="AN19" s="278">
        <f>$G19*'2026 Labor Alloc %'!AJ19</f>
        <v>0</v>
      </c>
      <c r="AO19" s="278">
        <f>$G19*'2026 Labor Alloc %'!AK19</f>
        <v>0</v>
      </c>
      <c r="AP19" s="278">
        <f>$G19*'2026 Labor Alloc %'!AL19</f>
        <v>0</v>
      </c>
      <c r="AQ19" s="278">
        <f>$G19*'2026 Labor Alloc %'!AM19</f>
        <v>0</v>
      </c>
      <c r="AR19" s="278">
        <f>$G19*'2026 Labor Alloc %'!AN19</f>
        <v>0</v>
      </c>
      <c r="AS19" s="278">
        <f>$G19*'2026 Labor Alloc %'!AO19</f>
        <v>0</v>
      </c>
      <c r="AT19" s="278">
        <f>$G19*'2026 Labor Alloc %'!AP19</f>
        <v>0</v>
      </c>
      <c r="AU19" s="278">
        <f>$G19*'2026 Labor Alloc %'!AQ19</f>
        <v>0</v>
      </c>
      <c r="AV19" s="278">
        <f>$G19*'2026 Labor Alloc %'!AR19</f>
        <v>0</v>
      </c>
      <c r="AW19" s="278">
        <f>$G19*'2026 Labor Alloc %'!AS19</f>
        <v>0</v>
      </c>
      <c r="AX19" s="278">
        <f>$G19*'2026 Labor Alloc %'!AT19</f>
        <v>0</v>
      </c>
      <c r="AY19" s="278">
        <f>$G19*'2026 Labor Alloc %'!AU19</f>
        <v>0</v>
      </c>
      <c r="AZ19" s="278">
        <f t="shared" si="1"/>
        <v>64976.632012499998</v>
      </c>
      <c r="BA19" s="278">
        <f t="shared" si="0"/>
        <v>0</v>
      </c>
      <c r="BD19" s="123"/>
    </row>
    <row r="20" spans="1:56" ht="12.75">
      <c r="A20" s="66">
        <v>376</v>
      </c>
      <c r="B20" s="66" t="str">
        <f>'Comp 25-26'!A16</f>
        <v>Darrah, Georgie Barnes</v>
      </c>
      <c r="C20" s="66"/>
      <c r="D20" s="66" t="str">
        <f>'Comp 25-26'!C16</f>
        <v>Assistant Director of Programs</v>
      </c>
      <c r="E20" s="66"/>
      <c r="F20" s="66"/>
      <c r="G20" s="74">
        <f>'Comp 25-26'!T16</f>
        <v>64126.735237499997</v>
      </c>
      <c r="H20" s="278">
        <f>$G20*'2026 Labor Alloc %'!D20</f>
        <v>7053.9408761249997</v>
      </c>
      <c r="I20" s="278">
        <f>$G20*'2026 Labor Alloc %'!E20</f>
        <v>7053.9408761249997</v>
      </c>
      <c r="J20" s="278">
        <f>$G20*'2026 Labor Alloc %'!F20</f>
        <v>0</v>
      </c>
      <c r="K20" s="278">
        <f>$G20*'2026 Labor Alloc %'!G20</f>
        <v>12825.347047499999</v>
      </c>
      <c r="L20" s="278">
        <f>$G20*'2026 Labor Alloc %'!H20</f>
        <v>0</v>
      </c>
      <c r="M20" s="278">
        <f>$G20*'2026 Labor Alloc %'!I20</f>
        <v>0</v>
      </c>
      <c r="N20" s="278">
        <f>$G20*'2026 Labor Alloc %'!J20</f>
        <v>9619.0102856249996</v>
      </c>
      <c r="O20" s="278">
        <f>$G20*'2026 Labor Alloc %'!K20</f>
        <v>0</v>
      </c>
      <c r="P20" s="278">
        <f>$G20*'2026 Labor Alloc %'!L20</f>
        <v>0</v>
      </c>
      <c r="Q20" s="278">
        <f>$G20*'2026 Labor Alloc %'!M20</f>
        <v>4488.8714666249998</v>
      </c>
      <c r="R20" s="278">
        <f>$G20*'2026 Labor Alloc %'!N20</f>
        <v>0</v>
      </c>
      <c r="S20" s="278">
        <f>$G20*'2026 Labor Alloc %'!O20</f>
        <v>0</v>
      </c>
      <c r="T20" s="278">
        <f>$G20*'2026 Labor Alloc %'!P20</f>
        <v>0</v>
      </c>
      <c r="U20" s="278">
        <f>$G20*'2026 Labor Alloc %'!Q20</f>
        <v>0</v>
      </c>
      <c r="V20" s="278">
        <f>$G20*'2026 Labor Alloc %'!R20</f>
        <v>6412.6735237499997</v>
      </c>
      <c r="W20" s="278">
        <f>$G20*'2026 Labor Alloc %'!S20</f>
        <v>6412.6735237499997</v>
      </c>
      <c r="X20" s="278">
        <f>$G20*'2026 Labor Alloc %'!T20</f>
        <v>6412.6735237499997</v>
      </c>
      <c r="Y20" s="278">
        <f>$G20*'2026 Labor Alloc %'!U20</f>
        <v>0</v>
      </c>
      <c r="Z20" s="278">
        <f>$G20*'2026 Labor Alloc %'!V20</f>
        <v>0</v>
      </c>
      <c r="AA20" s="278">
        <f>$G20*'2026 Labor Alloc %'!W20</f>
        <v>0</v>
      </c>
      <c r="AB20" s="278">
        <f>$G20*'2026 Labor Alloc %'!X20</f>
        <v>0</v>
      </c>
      <c r="AC20" s="278">
        <f>$G20*'2026 Labor Alloc %'!Y20</f>
        <v>0</v>
      </c>
      <c r="AD20" s="278">
        <f>$G20*'2026 Labor Alloc %'!Z20</f>
        <v>0</v>
      </c>
      <c r="AE20" s="278">
        <f>$G20*'2026 Labor Alloc %'!AA20</f>
        <v>0</v>
      </c>
      <c r="AF20" s="278">
        <f>$G20*'2026 Labor Alloc %'!AB20</f>
        <v>0</v>
      </c>
      <c r="AG20" s="278">
        <f>$G20*'2026 Labor Alloc %'!AC20</f>
        <v>0</v>
      </c>
      <c r="AH20" s="278">
        <f>$G20*'2026 Labor Alloc %'!AD20</f>
        <v>0</v>
      </c>
      <c r="AI20" s="278">
        <f>$G20*'2026 Labor Alloc %'!AE20</f>
        <v>0</v>
      </c>
      <c r="AJ20" s="278">
        <f>$G20*'2026 Labor Alloc %'!AF20</f>
        <v>3847.6041142499998</v>
      </c>
      <c r="AK20" s="278">
        <f>$G20*'2026 Labor Alloc %'!AG20</f>
        <v>0</v>
      </c>
      <c r="AL20" s="278">
        <f>$G20*'2026 Labor Alloc %'!AH20</f>
        <v>0</v>
      </c>
      <c r="AM20" s="278">
        <f>$G20*'2026 Labor Alloc %'!AI20</f>
        <v>0</v>
      </c>
      <c r="AN20" s="278">
        <f>$G20*'2026 Labor Alloc %'!AJ20</f>
        <v>0</v>
      </c>
      <c r="AO20" s="278">
        <f>$G20*'2026 Labor Alloc %'!AK20</f>
        <v>0</v>
      </c>
      <c r="AP20" s="278">
        <f>$G20*'2026 Labor Alloc %'!AL20</f>
        <v>0</v>
      </c>
      <c r="AQ20" s="278">
        <f>$G20*'2026 Labor Alloc %'!AM20</f>
        <v>0</v>
      </c>
      <c r="AR20" s="278">
        <f>$G20*'2026 Labor Alloc %'!AN20</f>
        <v>0</v>
      </c>
      <c r="AS20" s="278">
        <f>$G20*'2026 Labor Alloc %'!AO20</f>
        <v>0</v>
      </c>
      <c r="AT20" s="278">
        <f>$G20*'2026 Labor Alloc %'!AP20</f>
        <v>0</v>
      </c>
      <c r="AU20" s="278">
        <f>$G20*'2026 Labor Alloc %'!AQ20</f>
        <v>0</v>
      </c>
      <c r="AV20" s="278">
        <f>$G20*'2026 Labor Alloc %'!AR20</f>
        <v>0</v>
      </c>
      <c r="AW20" s="278">
        <f>$G20*'2026 Labor Alloc %'!AS20</f>
        <v>0</v>
      </c>
      <c r="AX20" s="278">
        <f>$G20*'2026 Labor Alloc %'!AT20</f>
        <v>0</v>
      </c>
      <c r="AY20" s="278">
        <f>$G20*'2026 Labor Alloc %'!AU20</f>
        <v>0</v>
      </c>
      <c r="AZ20" s="278">
        <f t="shared" si="1"/>
        <v>64126.73523749999</v>
      </c>
      <c r="BA20" s="278">
        <f t="shared" si="0"/>
        <v>0</v>
      </c>
      <c r="BD20" s="123"/>
    </row>
    <row r="21" spans="1:56" ht="12.75">
      <c r="A21" s="66">
        <v>131</v>
      </c>
      <c r="B21" s="66" t="str">
        <f>'Comp 25-26'!A17</f>
        <v>Davis, Kaliegh</v>
      </c>
      <c r="C21" s="66"/>
      <c r="D21" s="66" t="str">
        <f>'Comp 25-26'!C17</f>
        <v>Service Analyst</v>
      </c>
      <c r="E21" s="66"/>
      <c r="F21" s="66"/>
      <c r="G21" s="74">
        <f>'Comp 25-26'!T17</f>
        <v>44012.511562500003</v>
      </c>
      <c r="H21" s="278">
        <f>$G21*'2026 Labor Alloc %'!D21</f>
        <v>13203.753468750001</v>
      </c>
      <c r="I21" s="278">
        <f>$G21*'2026 Labor Alloc %'!E21</f>
        <v>0</v>
      </c>
      <c r="J21" s="278">
        <f>$G21*'2026 Labor Alloc %'!F21</f>
        <v>0</v>
      </c>
      <c r="K21" s="278">
        <f>$G21*'2026 Labor Alloc %'!G21</f>
        <v>0</v>
      </c>
      <c r="L21" s="278">
        <f>$G21*'2026 Labor Alloc %'!H21</f>
        <v>0</v>
      </c>
      <c r="M21" s="278">
        <f>$G21*'2026 Labor Alloc %'!I21</f>
        <v>0</v>
      </c>
      <c r="N21" s="278">
        <f>$G21*'2026 Labor Alloc %'!J21</f>
        <v>0</v>
      </c>
      <c r="O21" s="278">
        <f>$G21*'2026 Labor Alloc %'!K21</f>
        <v>15404.379046874999</v>
      </c>
      <c r="P21" s="278">
        <f>$G21*'2026 Labor Alloc %'!L21</f>
        <v>0</v>
      </c>
      <c r="Q21" s="278">
        <f>$G21*'2026 Labor Alloc %'!M21</f>
        <v>0</v>
      </c>
      <c r="R21" s="278">
        <f>$G21*'2026 Labor Alloc %'!N21</f>
        <v>0</v>
      </c>
      <c r="S21" s="278">
        <f>$G21*'2026 Labor Alloc %'!O21</f>
        <v>0</v>
      </c>
      <c r="T21" s="278">
        <f>$G21*'2026 Labor Alloc %'!P21</f>
        <v>0</v>
      </c>
      <c r="U21" s="278">
        <f>$G21*'2026 Labor Alloc %'!Q21</f>
        <v>0</v>
      </c>
      <c r="V21" s="278">
        <f>$G21*'2026 Labor Alloc %'!R21</f>
        <v>4401.2511562500003</v>
      </c>
      <c r="W21" s="278">
        <f>$G21*'2026 Labor Alloc %'!S21</f>
        <v>4401.2511562500003</v>
      </c>
      <c r="X21" s="278">
        <f>$G21*'2026 Labor Alloc %'!T21</f>
        <v>6601.8767343750005</v>
      </c>
      <c r="Y21" s="278">
        <f>$G21*'2026 Labor Alloc %'!U21</f>
        <v>0</v>
      </c>
      <c r="Z21" s="278">
        <f>$G21*'2026 Labor Alloc %'!V21</f>
        <v>0</v>
      </c>
      <c r="AA21" s="278">
        <f>$G21*'2026 Labor Alloc %'!W21</f>
        <v>0</v>
      </c>
      <c r="AB21" s="278">
        <f>$G21*'2026 Labor Alloc %'!X21</f>
        <v>0</v>
      </c>
      <c r="AC21" s="278">
        <f>$G21*'2026 Labor Alloc %'!Y21</f>
        <v>0</v>
      </c>
      <c r="AD21" s="278">
        <f>$G21*'2026 Labor Alloc %'!Z21</f>
        <v>0</v>
      </c>
      <c r="AE21" s="278">
        <f>$G21*'2026 Labor Alloc %'!AA21</f>
        <v>0</v>
      </c>
      <c r="AF21" s="278">
        <f>$G21*'2026 Labor Alloc %'!AB21</f>
        <v>0</v>
      </c>
      <c r="AG21" s="278">
        <f>$G21*'2026 Labor Alloc %'!AC21</f>
        <v>0</v>
      </c>
      <c r="AH21" s="278">
        <f>$G21*'2026 Labor Alloc %'!AD21</f>
        <v>0</v>
      </c>
      <c r="AI21" s="278">
        <f>$G21*'2026 Labor Alloc %'!AE21</f>
        <v>0</v>
      </c>
      <c r="AJ21" s="278">
        <f>$G21*'2026 Labor Alloc %'!AF21</f>
        <v>0</v>
      </c>
      <c r="AK21" s="278">
        <f>$G21*'2026 Labor Alloc %'!AG21</f>
        <v>0</v>
      </c>
      <c r="AL21" s="278">
        <f>$G21*'2026 Labor Alloc %'!AH21</f>
        <v>0</v>
      </c>
      <c r="AM21" s="278">
        <f>$G21*'2026 Labor Alloc %'!AI21</f>
        <v>0</v>
      </c>
      <c r="AN21" s="278">
        <f>$G21*'2026 Labor Alloc %'!AJ21</f>
        <v>0</v>
      </c>
      <c r="AO21" s="278">
        <f>$G21*'2026 Labor Alloc %'!AK21</f>
        <v>0</v>
      </c>
      <c r="AP21" s="278">
        <f>$G21*'2026 Labor Alloc %'!AL21</f>
        <v>0</v>
      </c>
      <c r="AQ21" s="278">
        <f>$G21*'2026 Labor Alloc %'!AM21</f>
        <v>0</v>
      </c>
      <c r="AR21" s="278">
        <f>$G21*'2026 Labor Alloc %'!AN21</f>
        <v>0</v>
      </c>
      <c r="AS21" s="278">
        <f>$G21*'2026 Labor Alloc %'!AO21</f>
        <v>0</v>
      </c>
      <c r="AT21" s="278">
        <f>$G21*'2026 Labor Alloc %'!AP21</f>
        <v>0</v>
      </c>
      <c r="AU21" s="278">
        <f>$G21*'2026 Labor Alloc %'!AQ21</f>
        <v>0</v>
      </c>
      <c r="AV21" s="278">
        <f>$G21*'2026 Labor Alloc %'!AR21</f>
        <v>0</v>
      </c>
      <c r="AW21" s="278">
        <f>$G21*'2026 Labor Alloc %'!AS21</f>
        <v>0</v>
      </c>
      <c r="AX21" s="278">
        <f>$G21*'2026 Labor Alloc %'!AT21</f>
        <v>0</v>
      </c>
      <c r="AY21" s="278">
        <f>$G21*'2026 Labor Alloc %'!AU21</f>
        <v>0</v>
      </c>
      <c r="AZ21" s="278">
        <f t="shared" si="1"/>
        <v>44012.511562500003</v>
      </c>
      <c r="BA21" s="278">
        <f t="shared" si="0"/>
        <v>0</v>
      </c>
      <c r="BD21" s="123"/>
    </row>
    <row r="22" spans="1:56" ht="12.75">
      <c r="A22" s="66">
        <v>146</v>
      </c>
      <c r="B22" s="66" t="str">
        <f>'Comp 25-26'!A18</f>
        <v>Day, Nicole Sheree</v>
      </c>
      <c r="C22" s="66"/>
      <c r="D22" s="66" t="str">
        <f>'Comp 25-26'!C18</f>
        <v>Caregiver Specialist</v>
      </c>
      <c r="E22" s="66"/>
      <c r="F22" s="66"/>
      <c r="G22" s="74">
        <f>'Comp 25-26'!T18</f>
        <v>55000.462724999998</v>
      </c>
      <c r="H22" s="278">
        <f>$G22*'2026 Labor Alloc %'!D22</f>
        <v>0</v>
      </c>
      <c r="I22" s="278">
        <f>$G22*'2026 Labor Alloc %'!E22</f>
        <v>0</v>
      </c>
      <c r="J22" s="278">
        <f>$G22*'2026 Labor Alloc %'!F22</f>
        <v>0</v>
      </c>
      <c r="K22" s="278">
        <f>$G22*'2026 Labor Alloc %'!G22</f>
        <v>0</v>
      </c>
      <c r="L22" s="278">
        <f>$G22*'2026 Labor Alloc %'!H22</f>
        <v>0</v>
      </c>
      <c r="M22" s="278">
        <f>$G22*'2026 Labor Alloc %'!I22</f>
        <v>0</v>
      </c>
      <c r="N22" s="278">
        <f>$G22*'2026 Labor Alloc %'!J22</f>
        <v>55000.462724999998</v>
      </c>
      <c r="O22" s="278">
        <f>$G22*'2026 Labor Alloc %'!K22</f>
        <v>0</v>
      </c>
      <c r="P22" s="278">
        <f>$G22*'2026 Labor Alloc %'!L22</f>
        <v>0</v>
      </c>
      <c r="Q22" s="278">
        <f>$G22*'2026 Labor Alloc %'!M22</f>
        <v>0</v>
      </c>
      <c r="R22" s="278">
        <f>$G22*'2026 Labor Alloc %'!N22</f>
        <v>0</v>
      </c>
      <c r="S22" s="278">
        <f>$G22*'2026 Labor Alloc %'!O22</f>
        <v>0</v>
      </c>
      <c r="T22" s="278">
        <f>$G22*'2026 Labor Alloc %'!P22</f>
        <v>0</v>
      </c>
      <c r="U22" s="278">
        <f>$G22*'2026 Labor Alloc %'!Q22</f>
        <v>0</v>
      </c>
      <c r="V22" s="278">
        <f>$G22*'2026 Labor Alloc %'!R22</f>
        <v>0</v>
      </c>
      <c r="W22" s="278">
        <f>$G22*'2026 Labor Alloc %'!S22</f>
        <v>0</v>
      </c>
      <c r="X22" s="278">
        <f>$G22*'2026 Labor Alloc %'!T22</f>
        <v>0</v>
      </c>
      <c r="Y22" s="278">
        <f>$G22*'2026 Labor Alloc %'!U22</f>
        <v>0</v>
      </c>
      <c r="Z22" s="278">
        <f>$G22*'2026 Labor Alloc %'!V22</f>
        <v>0</v>
      </c>
      <c r="AA22" s="278">
        <f>$G22*'2026 Labor Alloc %'!W22</f>
        <v>0</v>
      </c>
      <c r="AB22" s="278">
        <f>$G22*'2026 Labor Alloc %'!X22</f>
        <v>0</v>
      </c>
      <c r="AC22" s="278">
        <f>$G22*'2026 Labor Alloc %'!Y22</f>
        <v>0</v>
      </c>
      <c r="AD22" s="278">
        <f>$G22*'2026 Labor Alloc %'!Z22</f>
        <v>0</v>
      </c>
      <c r="AE22" s="278">
        <f>$G22*'2026 Labor Alloc %'!AA22</f>
        <v>0</v>
      </c>
      <c r="AF22" s="278">
        <f>$G22*'2026 Labor Alloc %'!AB22</f>
        <v>0</v>
      </c>
      <c r="AG22" s="278">
        <f>$G22*'2026 Labor Alloc %'!AC22</f>
        <v>0</v>
      </c>
      <c r="AH22" s="278">
        <f>$G22*'2026 Labor Alloc %'!AD22</f>
        <v>0</v>
      </c>
      <c r="AI22" s="278">
        <f>$G22*'2026 Labor Alloc %'!AE22</f>
        <v>0</v>
      </c>
      <c r="AJ22" s="278">
        <f>$G22*'2026 Labor Alloc %'!AF22</f>
        <v>0</v>
      </c>
      <c r="AK22" s="278">
        <f>$G22*'2026 Labor Alloc %'!AG22</f>
        <v>0</v>
      </c>
      <c r="AL22" s="278">
        <f>$G22*'2026 Labor Alloc %'!AH22</f>
        <v>0</v>
      </c>
      <c r="AM22" s="278">
        <f>$G22*'2026 Labor Alloc %'!AI22</f>
        <v>0</v>
      </c>
      <c r="AN22" s="278">
        <f>$G22*'2026 Labor Alloc %'!AJ22</f>
        <v>0</v>
      </c>
      <c r="AO22" s="278">
        <f>$G22*'2026 Labor Alloc %'!AK22</f>
        <v>0</v>
      </c>
      <c r="AP22" s="278">
        <f>$G22*'2026 Labor Alloc %'!AL22</f>
        <v>0</v>
      </c>
      <c r="AQ22" s="278">
        <f>$G22*'2026 Labor Alloc %'!AM22</f>
        <v>0</v>
      </c>
      <c r="AR22" s="278">
        <f>$G22*'2026 Labor Alloc %'!AN22</f>
        <v>0</v>
      </c>
      <c r="AS22" s="278">
        <f>$G22*'2026 Labor Alloc %'!AO22</f>
        <v>0</v>
      </c>
      <c r="AT22" s="278">
        <f>$G22*'2026 Labor Alloc %'!AP22</f>
        <v>0</v>
      </c>
      <c r="AU22" s="278">
        <f>$G22*'2026 Labor Alloc %'!AQ22</f>
        <v>0</v>
      </c>
      <c r="AV22" s="278">
        <f>$G22*'2026 Labor Alloc %'!AR22</f>
        <v>0</v>
      </c>
      <c r="AW22" s="278">
        <f>$G22*'2026 Labor Alloc %'!AS22</f>
        <v>0</v>
      </c>
      <c r="AX22" s="278">
        <f>$G22*'2026 Labor Alloc %'!AT22</f>
        <v>0</v>
      </c>
      <c r="AY22" s="278">
        <f>$G22*'2026 Labor Alloc %'!AU22</f>
        <v>0</v>
      </c>
      <c r="AZ22" s="278">
        <f t="shared" si="1"/>
        <v>55000.462724999998</v>
      </c>
      <c r="BA22" s="278">
        <f t="shared" si="0"/>
        <v>0</v>
      </c>
      <c r="BD22" s="123"/>
    </row>
    <row r="23" spans="1:56" ht="12.75">
      <c r="A23" s="66">
        <v>148</v>
      </c>
      <c r="B23" s="66" t="str">
        <f>'Comp 25-26'!A19</f>
        <v>Sleva, Zoey</v>
      </c>
      <c r="C23" s="66"/>
      <c r="D23" s="66" t="str">
        <f>'Comp 25-26'!C19</f>
        <v>Chore Services Specialist</v>
      </c>
      <c r="E23" s="66"/>
      <c r="F23" s="66"/>
      <c r="G23" s="74">
        <f>'Comp 25-26'!T19</f>
        <v>47553.748124999998</v>
      </c>
      <c r="H23" s="278">
        <f>$G23*'2026 Labor Alloc %'!D23</f>
        <v>0</v>
      </c>
      <c r="I23" s="278">
        <f>$G23*'2026 Labor Alloc %'!E23</f>
        <v>0</v>
      </c>
      <c r="J23" s="278">
        <f>$G23*'2026 Labor Alloc %'!F23</f>
        <v>0</v>
      </c>
      <c r="K23" s="278">
        <f>$G23*'2026 Labor Alloc %'!G23</f>
        <v>0</v>
      </c>
      <c r="L23" s="278">
        <f>$G23*'2026 Labor Alloc %'!H23</f>
        <v>0</v>
      </c>
      <c r="M23" s="278">
        <f>$G23*'2026 Labor Alloc %'!I23</f>
        <v>0</v>
      </c>
      <c r="N23" s="278">
        <f>$G23*'2026 Labor Alloc %'!J23</f>
        <v>0</v>
      </c>
      <c r="O23" s="278">
        <f>$G23*'2026 Labor Alloc %'!K23</f>
        <v>0</v>
      </c>
      <c r="P23" s="278">
        <f>$G23*'2026 Labor Alloc %'!L23</f>
        <v>0</v>
      </c>
      <c r="Q23" s="278">
        <f>$G23*'2026 Labor Alloc %'!M23</f>
        <v>0</v>
      </c>
      <c r="R23" s="278">
        <f>$G23*'2026 Labor Alloc %'!N23</f>
        <v>0</v>
      </c>
      <c r="S23" s="278">
        <f>$G23*'2026 Labor Alloc %'!O23</f>
        <v>0</v>
      </c>
      <c r="T23" s="278">
        <f>$G23*'2026 Labor Alloc %'!P23</f>
        <v>0</v>
      </c>
      <c r="U23" s="278">
        <f>$G23*'2026 Labor Alloc %'!Q23</f>
        <v>0</v>
      </c>
      <c r="V23" s="278">
        <f>$G23*'2026 Labor Alloc %'!R23</f>
        <v>0</v>
      </c>
      <c r="W23" s="278">
        <f>$G23*'2026 Labor Alloc %'!S23</f>
        <v>0</v>
      </c>
      <c r="X23" s="278">
        <f>$G23*'2026 Labor Alloc %'!T23</f>
        <v>0</v>
      </c>
      <c r="Y23" s="278">
        <f>$G23*'2026 Labor Alloc %'!U23</f>
        <v>0</v>
      </c>
      <c r="Z23" s="278">
        <f>$G23*'2026 Labor Alloc %'!V23</f>
        <v>0</v>
      </c>
      <c r="AA23" s="278">
        <f>$G23*'2026 Labor Alloc %'!W23</f>
        <v>0</v>
      </c>
      <c r="AB23" s="278">
        <f>$G23*'2026 Labor Alloc %'!X23</f>
        <v>0</v>
      </c>
      <c r="AC23" s="278">
        <f>$G23*'2026 Labor Alloc %'!Y23</f>
        <v>0</v>
      </c>
      <c r="AD23" s="278">
        <f>$G23*'2026 Labor Alloc %'!Z23</f>
        <v>0</v>
      </c>
      <c r="AE23" s="278">
        <f>$G23*'2026 Labor Alloc %'!AA23</f>
        <v>0</v>
      </c>
      <c r="AF23" s="278">
        <f>$G23*'2026 Labor Alloc %'!AB23</f>
        <v>0</v>
      </c>
      <c r="AG23" s="278">
        <f>$G23*'2026 Labor Alloc %'!AC23</f>
        <v>0</v>
      </c>
      <c r="AH23" s="278">
        <f>$G23*'2026 Labor Alloc %'!AD23</f>
        <v>0</v>
      </c>
      <c r="AI23" s="278">
        <f>$G23*'2026 Labor Alloc %'!AE23</f>
        <v>0</v>
      </c>
      <c r="AJ23" s="278">
        <f>$G23*'2026 Labor Alloc %'!AF23</f>
        <v>0</v>
      </c>
      <c r="AK23" s="278">
        <f>$G23*'2026 Labor Alloc %'!AG23</f>
        <v>0</v>
      </c>
      <c r="AL23" s="278">
        <f>$G23*'2026 Labor Alloc %'!AH23</f>
        <v>0</v>
      </c>
      <c r="AM23" s="278">
        <f>$G23*'2026 Labor Alloc %'!AI23</f>
        <v>0</v>
      </c>
      <c r="AN23" s="278">
        <f>$G23*'2026 Labor Alloc %'!AJ23</f>
        <v>0</v>
      </c>
      <c r="AO23" s="278">
        <f>$G23*'2026 Labor Alloc %'!AK23</f>
        <v>0</v>
      </c>
      <c r="AP23" s="278">
        <f>$G23*'2026 Labor Alloc %'!AL23</f>
        <v>0</v>
      </c>
      <c r="AQ23" s="278">
        <f>$G23*'2026 Labor Alloc %'!AM23</f>
        <v>0</v>
      </c>
      <c r="AR23" s="278">
        <f>$G23*'2026 Labor Alloc %'!AN23</f>
        <v>0</v>
      </c>
      <c r="AS23" s="278">
        <f>$G23*'2026 Labor Alloc %'!AO23</f>
        <v>38042.998500000002</v>
      </c>
      <c r="AT23" s="278">
        <f>$G23*'2026 Labor Alloc %'!AP23</f>
        <v>9510.7496250000004</v>
      </c>
      <c r="AU23" s="278">
        <f>$G23*'2026 Labor Alloc %'!AQ23</f>
        <v>0</v>
      </c>
      <c r="AV23" s="278">
        <f>$G23*'2026 Labor Alloc %'!AR23</f>
        <v>0</v>
      </c>
      <c r="AW23" s="278">
        <f>$G23*'2026 Labor Alloc %'!AS23</f>
        <v>0</v>
      </c>
      <c r="AX23" s="278">
        <f>$G23*'2026 Labor Alloc %'!AT23</f>
        <v>0</v>
      </c>
      <c r="AY23" s="278">
        <f>$G23*'2026 Labor Alloc %'!AU23</f>
        <v>0</v>
      </c>
      <c r="AZ23" s="278">
        <f t="shared" si="1"/>
        <v>47553.748124999998</v>
      </c>
      <c r="BA23" s="278">
        <f t="shared" si="0"/>
        <v>0</v>
      </c>
      <c r="BD23" s="123"/>
    </row>
    <row r="24" spans="1:56" ht="12.75">
      <c r="A24" s="66">
        <v>149</v>
      </c>
      <c r="B24" s="66" t="str">
        <f>'Comp 25-26'!A20</f>
        <v>Didion, Christine Blair</v>
      </c>
      <c r="C24" s="66"/>
      <c r="D24" s="66" t="str">
        <f>'Comp 25-26'!C20</f>
        <v>Director of Programs</v>
      </c>
      <c r="E24" s="66"/>
      <c r="F24" s="66"/>
      <c r="G24" s="74">
        <f>'Comp 25-26'!T20</f>
        <v>88632.092250000002</v>
      </c>
      <c r="H24" s="278">
        <f>$G24*'2026 Labor Alloc %'!D24</f>
        <v>13294.8138375</v>
      </c>
      <c r="I24" s="278">
        <f>$G24*'2026 Labor Alloc %'!E24</f>
        <v>15953.776604999999</v>
      </c>
      <c r="J24" s="278">
        <f>$G24*'2026 Labor Alloc %'!F24</f>
        <v>0</v>
      </c>
      <c r="K24" s="278">
        <f>$G24*'2026 Labor Alloc %'!G24</f>
        <v>7090.5673800000004</v>
      </c>
      <c r="L24" s="278">
        <f>$G24*'2026 Labor Alloc %'!H24</f>
        <v>0</v>
      </c>
      <c r="M24" s="278">
        <f>$G24*'2026 Labor Alloc %'!I24</f>
        <v>0</v>
      </c>
      <c r="N24" s="278">
        <f>$G24*'2026 Labor Alloc %'!J24</f>
        <v>13294.8138375</v>
      </c>
      <c r="O24" s="278">
        <f>$G24*'2026 Labor Alloc %'!K24</f>
        <v>26589.627675</v>
      </c>
      <c r="P24" s="278">
        <f>$G24*'2026 Labor Alloc %'!L24</f>
        <v>0</v>
      </c>
      <c r="Q24" s="278">
        <f>$G24*'2026 Labor Alloc %'!M24</f>
        <v>6204.2464575000004</v>
      </c>
      <c r="R24" s="278">
        <f>$G24*'2026 Labor Alloc %'!N24</f>
        <v>0</v>
      </c>
      <c r="S24" s="278">
        <f>$G24*'2026 Labor Alloc %'!O24</f>
        <v>0</v>
      </c>
      <c r="T24" s="278">
        <f>$G24*'2026 Labor Alloc %'!P24</f>
        <v>0</v>
      </c>
      <c r="U24" s="278">
        <f>$G24*'2026 Labor Alloc %'!Q24</f>
        <v>0</v>
      </c>
      <c r="V24" s="278">
        <f>$G24*'2026 Labor Alloc %'!R24</f>
        <v>0</v>
      </c>
      <c r="W24" s="278">
        <f>$G24*'2026 Labor Alloc %'!S24</f>
        <v>0</v>
      </c>
      <c r="X24" s="278">
        <f>$G24*'2026 Labor Alloc %'!T24</f>
        <v>0</v>
      </c>
      <c r="Y24" s="278">
        <f>$G24*'2026 Labor Alloc %'!U24</f>
        <v>0</v>
      </c>
      <c r="Z24" s="278">
        <f>$G24*'2026 Labor Alloc %'!V24</f>
        <v>0</v>
      </c>
      <c r="AA24" s="278">
        <f>$G24*'2026 Labor Alloc %'!W24</f>
        <v>0</v>
      </c>
      <c r="AB24" s="278">
        <f>$G24*'2026 Labor Alloc %'!X24</f>
        <v>0</v>
      </c>
      <c r="AC24" s="278">
        <f>$G24*'2026 Labor Alloc %'!Y24</f>
        <v>0</v>
      </c>
      <c r="AD24" s="278">
        <f>$G24*'2026 Labor Alloc %'!Z24</f>
        <v>0</v>
      </c>
      <c r="AE24" s="278">
        <f>$G24*'2026 Labor Alloc %'!AA24</f>
        <v>0</v>
      </c>
      <c r="AF24" s="278">
        <f>$G24*'2026 Labor Alloc %'!AB24</f>
        <v>0</v>
      </c>
      <c r="AG24" s="278">
        <f>$G24*'2026 Labor Alloc %'!AC24</f>
        <v>0</v>
      </c>
      <c r="AH24" s="278">
        <f>$G24*'2026 Labor Alloc %'!AD24</f>
        <v>0</v>
      </c>
      <c r="AI24" s="278">
        <f>$G24*'2026 Labor Alloc %'!AE24</f>
        <v>0</v>
      </c>
      <c r="AJ24" s="278">
        <f>$G24*'2026 Labor Alloc %'!AF24</f>
        <v>0</v>
      </c>
      <c r="AK24" s="278">
        <f>$G24*'2026 Labor Alloc %'!AG24</f>
        <v>0</v>
      </c>
      <c r="AL24" s="278">
        <f>$G24*'2026 Labor Alloc %'!AH24</f>
        <v>0</v>
      </c>
      <c r="AM24" s="278">
        <f>$G24*'2026 Labor Alloc %'!AI24</f>
        <v>0</v>
      </c>
      <c r="AN24" s="278">
        <f>$G24*'2026 Labor Alloc %'!AJ24</f>
        <v>0</v>
      </c>
      <c r="AO24" s="278">
        <f>$G24*'2026 Labor Alloc %'!AK24</f>
        <v>0</v>
      </c>
      <c r="AP24" s="278">
        <f>$G24*'2026 Labor Alloc %'!AL24</f>
        <v>0</v>
      </c>
      <c r="AQ24" s="278">
        <f>$G24*'2026 Labor Alloc %'!AM24</f>
        <v>0</v>
      </c>
      <c r="AR24" s="278">
        <f>$G24*'2026 Labor Alloc %'!AN24</f>
        <v>6204.2464575000004</v>
      </c>
      <c r="AS24" s="278">
        <f>$G24*'2026 Labor Alloc %'!AO24</f>
        <v>0</v>
      </c>
      <c r="AT24" s="278">
        <f>$G24*'2026 Labor Alloc %'!AP24</f>
        <v>0</v>
      </c>
      <c r="AU24" s="278">
        <f>$G24*'2026 Labor Alloc %'!AQ24</f>
        <v>0</v>
      </c>
      <c r="AV24" s="278">
        <f>$G24*'2026 Labor Alloc %'!AR24</f>
        <v>0</v>
      </c>
      <c r="AW24" s="278">
        <f>$G24*'2026 Labor Alloc %'!AS24</f>
        <v>0</v>
      </c>
      <c r="AX24" s="278">
        <f>$G24*'2026 Labor Alloc %'!AT24</f>
        <v>0</v>
      </c>
      <c r="AY24" s="278">
        <f>$G24*'2026 Labor Alloc %'!AU24</f>
        <v>0</v>
      </c>
      <c r="AZ24" s="278">
        <f t="shared" si="1"/>
        <v>88632.092250000002</v>
      </c>
      <c r="BA24" s="278">
        <f t="shared" si="0"/>
        <v>0</v>
      </c>
      <c r="BD24" s="123"/>
    </row>
    <row r="25" spans="1:56" ht="12.75">
      <c r="A25" s="66">
        <v>150</v>
      </c>
      <c r="B25" s="66" t="str">
        <f>'Comp 25-26'!A21</f>
        <v>Anderson, Andrea</v>
      </c>
      <c r="C25" s="66"/>
      <c r="D25" s="66" t="str">
        <f>'Comp 25-26'!C21</f>
        <v>Information &amp; Assistance Specialist</v>
      </c>
      <c r="E25" s="66"/>
      <c r="F25" s="66"/>
      <c r="G25" s="74">
        <f>'Comp 25-26'!T21</f>
        <v>37327.875</v>
      </c>
      <c r="H25" s="278">
        <f>$G25*'2026 Labor Alloc %'!D25</f>
        <v>0</v>
      </c>
      <c r="I25" s="278">
        <f>$G25*'2026 Labor Alloc %'!E25</f>
        <v>21650.1675</v>
      </c>
      <c r="J25" s="278">
        <f>$G25*'2026 Labor Alloc %'!F25</f>
        <v>0</v>
      </c>
      <c r="K25" s="278">
        <f>$G25*'2026 Labor Alloc %'!G25</f>
        <v>0</v>
      </c>
      <c r="L25" s="278">
        <f>$G25*'2026 Labor Alloc %'!H25</f>
        <v>0</v>
      </c>
      <c r="M25" s="278">
        <f>$G25*'2026 Labor Alloc %'!I25</f>
        <v>0</v>
      </c>
      <c r="N25" s="278">
        <f>$G25*'2026 Labor Alloc %'!J25</f>
        <v>0</v>
      </c>
      <c r="O25" s="278">
        <f>$G25*'2026 Labor Alloc %'!K25</f>
        <v>0</v>
      </c>
      <c r="P25" s="278">
        <f>$G25*'2026 Labor Alloc %'!L25</f>
        <v>0</v>
      </c>
      <c r="Q25" s="278">
        <f>$G25*'2026 Labor Alloc %'!M25</f>
        <v>0</v>
      </c>
      <c r="R25" s="278">
        <f>$G25*'2026 Labor Alloc %'!N25</f>
        <v>0</v>
      </c>
      <c r="S25" s="278">
        <f>$G25*'2026 Labor Alloc %'!O25</f>
        <v>0</v>
      </c>
      <c r="T25" s="278">
        <f>$G25*'2026 Labor Alloc %'!P25</f>
        <v>0</v>
      </c>
      <c r="U25" s="278">
        <f>$G25*'2026 Labor Alloc %'!Q25</f>
        <v>0</v>
      </c>
      <c r="V25" s="278">
        <f>$G25*'2026 Labor Alloc %'!R25</f>
        <v>0</v>
      </c>
      <c r="W25" s="278">
        <f>$G25*'2026 Labor Alloc %'!S25</f>
        <v>0</v>
      </c>
      <c r="X25" s="278">
        <f>$G25*'2026 Labor Alloc %'!T25</f>
        <v>0</v>
      </c>
      <c r="Y25" s="278">
        <f>$G25*'2026 Labor Alloc %'!U25</f>
        <v>0</v>
      </c>
      <c r="Z25" s="278">
        <f>$G25*'2026 Labor Alloc %'!V25</f>
        <v>0</v>
      </c>
      <c r="AA25" s="278">
        <f>$G25*'2026 Labor Alloc %'!W25</f>
        <v>0</v>
      </c>
      <c r="AB25" s="278">
        <f>$G25*'2026 Labor Alloc %'!X25</f>
        <v>0</v>
      </c>
      <c r="AC25" s="278">
        <f>$G25*'2026 Labor Alloc %'!Y25</f>
        <v>0</v>
      </c>
      <c r="AD25" s="278">
        <f>$G25*'2026 Labor Alloc %'!Z25</f>
        <v>0</v>
      </c>
      <c r="AE25" s="278">
        <f>$G25*'2026 Labor Alloc %'!AA25</f>
        <v>0</v>
      </c>
      <c r="AF25" s="278">
        <f>$G25*'2026 Labor Alloc %'!AB25</f>
        <v>0</v>
      </c>
      <c r="AG25" s="278">
        <f>$G25*'2026 Labor Alloc %'!AC25</f>
        <v>0</v>
      </c>
      <c r="AH25" s="278">
        <f>$G25*'2026 Labor Alloc %'!AD25</f>
        <v>0</v>
      </c>
      <c r="AI25" s="278">
        <f>$G25*'2026 Labor Alloc %'!AE25</f>
        <v>0</v>
      </c>
      <c r="AJ25" s="278">
        <f>$G25*'2026 Labor Alloc %'!AF25</f>
        <v>0</v>
      </c>
      <c r="AK25" s="278">
        <f>$G25*'2026 Labor Alloc %'!AG25</f>
        <v>0</v>
      </c>
      <c r="AL25" s="278">
        <f>$G25*'2026 Labor Alloc %'!AH25</f>
        <v>0</v>
      </c>
      <c r="AM25" s="278">
        <f>$G25*'2026 Labor Alloc %'!AI25</f>
        <v>0</v>
      </c>
      <c r="AN25" s="278">
        <f>$G25*'2026 Labor Alloc %'!AJ25</f>
        <v>0</v>
      </c>
      <c r="AO25" s="278">
        <f>$G25*'2026 Labor Alloc %'!AK25</f>
        <v>0</v>
      </c>
      <c r="AP25" s="278">
        <f>$G25*'2026 Labor Alloc %'!AL25</f>
        <v>0</v>
      </c>
      <c r="AQ25" s="278">
        <f>$G25*'2026 Labor Alloc %'!AM25</f>
        <v>0</v>
      </c>
      <c r="AR25" s="278">
        <f>$G25*'2026 Labor Alloc %'!AN25</f>
        <v>0</v>
      </c>
      <c r="AS25" s="278">
        <f>$G25*'2026 Labor Alloc %'!AO25</f>
        <v>0</v>
      </c>
      <c r="AT25" s="278">
        <f>$G25*'2026 Labor Alloc %'!AP25</f>
        <v>0</v>
      </c>
      <c r="AU25" s="278">
        <f>$G25*'2026 Labor Alloc %'!AQ25</f>
        <v>15677.707499999999</v>
      </c>
      <c r="AV25" s="278">
        <f>$G25*'2026 Labor Alloc %'!AR25</f>
        <v>0</v>
      </c>
      <c r="AW25" s="278">
        <f>$G25*'2026 Labor Alloc %'!AS25</f>
        <v>0</v>
      </c>
      <c r="AX25" s="278">
        <f>$G25*'2026 Labor Alloc %'!AT25</f>
        <v>0</v>
      </c>
      <c r="AY25" s="278">
        <f>$G25*'2026 Labor Alloc %'!AU25</f>
        <v>0</v>
      </c>
      <c r="AZ25" s="278">
        <f t="shared" si="1"/>
        <v>37327.875</v>
      </c>
      <c r="BA25" s="278">
        <f t="shared" si="0"/>
        <v>0</v>
      </c>
      <c r="BD25" s="123"/>
    </row>
    <row r="26" spans="1:56" ht="12.75">
      <c r="A26" s="66">
        <v>154</v>
      </c>
      <c r="B26" s="66" t="str">
        <f>'Comp 25-26'!A22</f>
        <v>Elliott, Jennifer E</v>
      </c>
      <c r="C26" s="66"/>
      <c r="D26" s="66" t="str">
        <f>'Comp 25-26'!C22</f>
        <v>Service Analyst</v>
      </c>
      <c r="E26" s="66"/>
      <c r="F26" s="66"/>
      <c r="G26" s="74">
        <f>'Comp 25-26'!T22</f>
        <v>48626.236912499997</v>
      </c>
      <c r="H26" s="278">
        <f>$G26*'2026 Labor Alloc %'!D26</f>
        <v>29175.742147499997</v>
      </c>
      <c r="I26" s="278">
        <f>$G26*'2026 Labor Alloc %'!E26</f>
        <v>0</v>
      </c>
      <c r="J26" s="278">
        <f>$G26*'2026 Labor Alloc %'!F26</f>
        <v>0</v>
      </c>
      <c r="K26" s="278">
        <f>$G26*'2026 Labor Alloc %'!G26</f>
        <v>0</v>
      </c>
      <c r="L26" s="278">
        <f>$G26*'2026 Labor Alloc %'!H26</f>
        <v>0</v>
      </c>
      <c r="M26" s="278">
        <f>$G26*'2026 Labor Alloc %'!I26</f>
        <v>0</v>
      </c>
      <c r="N26" s="278">
        <f>$G26*'2026 Labor Alloc %'!J26</f>
        <v>0</v>
      </c>
      <c r="O26" s="278">
        <f>$G26*'2026 Labor Alloc %'!K26</f>
        <v>14587.871073749999</v>
      </c>
      <c r="P26" s="278">
        <f>$G26*'2026 Labor Alloc %'!L26</f>
        <v>0</v>
      </c>
      <c r="Q26" s="278">
        <f>$G26*'2026 Labor Alloc %'!M26</f>
        <v>0</v>
      </c>
      <c r="R26" s="278">
        <f>$G26*'2026 Labor Alloc %'!N26</f>
        <v>0</v>
      </c>
      <c r="S26" s="278">
        <f>$G26*'2026 Labor Alloc %'!O26</f>
        <v>0</v>
      </c>
      <c r="T26" s="278">
        <f>$G26*'2026 Labor Alloc %'!P26</f>
        <v>0</v>
      </c>
      <c r="U26" s="278">
        <f>$G26*'2026 Labor Alloc %'!Q26</f>
        <v>0</v>
      </c>
      <c r="V26" s="278">
        <f>$G26*'2026 Labor Alloc %'!R26</f>
        <v>0</v>
      </c>
      <c r="W26" s="278">
        <f>$G26*'2026 Labor Alloc %'!S26</f>
        <v>0</v>
      </c>
      <c r="X26" s="278">
        <f>$G26*'2026 Labor Alloc %'!T26</f>
        <v>0</v>
      </c>
      <c r="Y26" s="278">
        <f>$G26*'2026 Labor Alloc %'!U26</f>
        <v>0</v>
      </c>
      <c r="Z26" s="278">
        <f>$G26*'2026 Labor Alloc %'!V26</f>
        <v>0</v>
      </c>
      <c r="AA26" s="278">
        <f>$G26*'2026 Labor Alloc %'!W26</f>
        <v>0</v>
      </c>
      <c r="AB26" s="278">
        <f>$G26*'2026 Labor Alloc %'!X26</f>
        <v>0</v>
      </c>
      <c r="AC26" s="278">
        <f>$G26*'2026 Labor Alloc %'!Y26</f>
        <v>0</v>
      </c>
      <c r="AD26" s="278">
        <f>$G26*'2026 Labor Alloc %'!Z26</f>
        <v>0</v>
      </c>
      <c r="AE26" s="278">
        <f>$G26*'2026 Labor Alloc %'!AA26</f>
        <v>0</v>
      </c>
      <c r="AF26" s="278">
        <f>$G26*'2026 Labor Alloc %'!AB26</f>
        <v>0</v>
      </c>
      <c r="AG26" s="278">
        <f>$G26*'2026 Labor Alloc %'!AC26</f>
        <v>0</v>
      </c>
      <c r="AH26" s="278">
        <f>$G26*'2026 Labor Alloc %'!AD26</f>
        <v>0</v>
      </c>
      <c r="AI26" s="278">
        <f>$G26*'2026 Labor Alloc %'!AE26</f>
        <v>0</v>
      </c>
      <c r="AJ26" s="278">
        <f>$G26*'2026 Labor Alloc %'!AF26</f>
        <v>0</v>
      </c>
      <c r="AK26" s="278">
        <f>$G26*'2026 Labor Alloc %'!AG26</f>
        <v>0</v>
      </c>
      <c r="AL26" s="278">
        <f>$G26*'2026 Labor Alloc %'!AH26</f>
        <v>0</v>
      </c>
      <c r="AM26" s="278">
        <f>$G26*'2026 Labor Alloc %'!AI26</f>
        <v>0</v>
      </c>
      <c r="AN26" s="278">
        <f>$G26*'2026 Labor Alloc %'!AJ26</f>
        <v>0</v>
      </c>
      <c r="AO26" s="278">
        <f>$G26*'2026 Labor Alloc %'!AK26</f>
        <v>0</v>
      </c>
      <c r="AP26" s="278">
        <f>$G26*'2026 Labor Alloc %'!AL26</f>
        <v>0</v>
      </c>
      <c r="AQ26" s="278">
        <f>$G26*'2026 Labor Alloc %'!AM26</f>
        <v>0</v>
      </c>
      <c r="AR26" s="278">
        <f>$G26*'2026 Labor Alloc %'!AN26</f>
        <v>0</v>
      </c>
      <c r="AS26" s="278">
        <f>$G26*'2026 Labor Alloc %'!AO26</f>
        <v>0</v>
      </c>
      <c r="AT26" s="278">
        <f>$G26*'2026 Labor Alloc %'!AP26</f>
        <v>0</v>
      </c>
      <c r="AU26" s="278">
        <f>$G26*'2026 Labor Alloc %'!AQ26</f>
        <v>4862.6236912499999</v>
      </c>
      <c r="AV26" s="278">
        <f>$G26*'2026 Labor Alloc %'!AR26</f>
        <v>0</v>
      </c>
      <c r="AW26" s="278">
        <f>$G26*'2026 Labor Alloc %'!AS26</f>
        <v>0</v>
      </c>
      <c r="AX26" s="278">
        <f>$G26*'2026 Labor Alloc %'!AT26</f>
        <v>0</v>
      </c>
      <c r="AY26" s="278">
        <f>$G26*'2026 Labor Alloc %'!AU26</f>
        <v>0</v>
      </c>
      <c r="AZ26" s="278">
        <f t="shared" si="1"/>
        <v>48626.236912499997</v>
      </c>
      <c r="BA26" s="278">
        <f t="shared" si="0"/>
        <v>0</v>
      </c>
      <c r="BD26" s="123"/>
    </row>
    <row r="27" spans="1:56" ht="12.75">
      <c r="A27" s="66">
        <v>175</v>
      </c>
      <c r="B27" s="66" t="str">
        <f>'Comp 25-26'!A23</f>
        <v>Morales, Hillary</v>
      </c>
      <c r="C27" s="66"/>
      <c r="D27" s="66" t="str">
        <f>'Comp 25-26'!C23</f>
        <v>Executive Assistant</v>
      </c>
      <c r="E27" s="66"/>
      <c r="F27" s="66"/>
      <c r="G27" s="74">
        <f>'Comp 25-26'!T23</f>
        <v>62265.056587499996</v>
      </c>
      <c r="H27" s="278">
        <f>$G27*'2026 Labor Alloc %'!D27</f>
        <v>62265.056587499996</v>
      </c>
      <c r="I27" s="278">
        <f>$G27*'2026 Labor Alloc %'!E27</f>
        <v>0</v>
      </c>
      <c r="J27" s="278">
        <f>$G27*'2026 Labor Alloc %'!F27</f>
        <v>0</v>
      </c>
      <c r="K27" s="278">
        <f>$G27*'2026 Labor Alloc %'!G27</f>
        <v>0</v>
      </c>
      <c r="L27" s="278">
        <f>$G27*'2026 Labor Alloc %'!H27</f>
        <v>0</v>
      </c>
      <c r="M27" s="278">
        <f>$G27*'2026 Labor Alloc %'!I27</f>
        <v>0</v>
      </c>
      <c r="N27" s="278">
        <f>$G27*'2026 Labor Alloc %'!J27</f>
        <v>0</v>
      </c>
      <c r="O27" s="278">
        <f>$G27*'2026 Labor Alloc %'!K27</f>
        <v>0</v>
      </c>
      <c r="P27" s="278">
        <f>$G27*'2026 Labor Alloc %'!L27</f>
        <v>0</v>
      </c>
      <c r="Q27" s="278">
        <f>$G27*'2026 Labor Alloc %'!M27</f>
        <v>0</v>
      </c>
      <c r="R27" s="278">
        <f>$G27*'2026 Labor Alloc %'!N27</f>
        <v>0</v>
      </c>
      <c r="S27" s="278">
        <f>$G27*'2026 Labor Alloc %'!O27</f>
        <v>0</v>
      </c>
      <c r="T27" s="278">
        <f>$G27*'2026 Labor Alloc %'!P27</f>
        <v>0</v>
      </c>
      <c r="U27" s="278">
        <f>$G27*'2026 Labor Alloc %'!Q27</f>
        <v>0</v>
      </c>
      <c r="V27" s="278">
        <f>$G27*'2026 Labor Alloc %'!R27</f>
        <v>0</v>
      </c>
      <c r="W27" s="278">
        <f>$G27*'2026 Labor Alloc %'!S27</f>
        <v>0</v>
      </c>
      <c r="X27" s="278">
        <f>$G27*'2026 Labor Alloc %'!T27</f>
        <v>0</v>
      </c>
      <c r="Y27" s="278">
        <f>$G27*'2026 Labor Alloc %'!U27</f>
        <v>0</v>
      </c>
      <c r="Z27" s="278">
        <f>$G27*'2026 Labor Alloc %'!V27</f>
        <v>0</v>
      </c>
      <c r="AA27" s="278">
        <f>$G27*'2026 Labor Alloc %'!W27</f>
        <v>0</v>
      </c>
      <c r="AB27" s="278">
        <f>$G27*'2026 Labor Alloc %'!X27</f>
        <v>0</v>
      </c>
      <c r="AC27" s="278">
        <f>$G27*'2026 Labor Alloc %'!Y27</f>
        <v>0</v>
      </c>
      <c r="AD27" s="278">
        <f>$G27*'2026 Labor Alloc %'!Z27</f>
        <v>0</v>
      </c>
      <c r="AE27" s="278">
        <f>$G27*'2026 Labor Alloc %'!AA27</f>
        <v>0</v>
      </c>
      <c r="AF27" s="278">
        <f>$G27*'2026 Labor Alloc %'!AB27</f>
        <v>0</v>
      </c>
      <c r="AG27" s="278">
        <f>$G27*'2026 Labor Alloc %'!AC27</f>
        <v>0</v>
      </c>
      <c r="AH27" s="278">
        <f>$G27*'2026 Labor Alloc %'!AD27</f>
        <v>0</v>
      </c>
      <c r="AI27" s="278">
        <f>$G27*'2026 Labor Alloc %'!AE27</f>
        <v>0</v>
      </c>
      <c r="AJ27" s="278">
        <f>$G27*'2026 Labor Alloc %'!AF27</f>
        <v>0</v>
      </c>
      <c r="AK27" s="278">
        <f>$G27*'2026 Labor Alloc %'!AG27</f>
        <v>0</v>
      </c>
      <c r="AL27" s="278">
        <f>$G27*'2026 Labor Alloc %'!AH27</f>
        <v>0</v>
      </c>
      <c r="AM27" s="278">
        <f>$G27*'2026 Labor Alloc %'!AI27</f>
        <v>0</v>
      </c>
      <c r="AN27" s="278">
        <f>$G27*'2026 Labor Alloc %'!AJ27</f>
        <v>0</v>
      </c>
      <c r="AO27" s="278">
        <f>$G27*'2026 Labor Alloc %'!AK27</f>
        <v>0</v>
      </c>
      <c r="AP27" s="278">
        <f>$G27*'2026 Labor Alloc %'!AL27</f>
        <v>0</v>
      </c>
      <c r="AQ27" s="278">
        <f>$G27*'2026 Labor Alloc %'!AM27</f>
        <v>0</v>
      </c>
      <c r="AR27" s="278">
        <f>$G27*'2026 Labor Alloc %'!AN27</f>
        <v>0</v>
      </c>
      <c r="AS27" s="278">
        <f>$G27*'2026 Labor Alloc %'!AO27</f>
        <v>0</v>
      </c>
      <c r="AT27" s="278">
        <f>$G27*'2026 Labor Alloc %'!AP27</f>
        <v>0</v>
      </c>
      <c r="AU27" s="278">
        <f>$G27*'2026 Labor Alloc %'!AQ27</f>
        <v>0</v>
      </c>
      <c r="AV27" s="278">
        <f>$G27*'2026 Labor Alloc %'!AR27</f>
        <v>0</v>
      </c>
      <c r="AW27" s="278">
        <f>$G27*'2026 Labor Alloc %'!AS27</f>
        <v>0</v>
      </c>
      <c r="AX27" s="278">
        <f>$G27*'2026 Labor Alloc %'!AT27</f>
        <v>0</v>
      </c>
      <c r="AY27" s="278">
        <f>$G27*'2026 Labor Alloc %'!AU27</f>
        <v>0</v>
      </c>
      <c r="AZ27" s="278">
        <f t="shared" si="1"/>
        <v>62265.056587499996</v>
      </c>
      <c r="BA27" s="278">
        <f t="shared" si="0"/>
        <v>0</v>
      </c>
      <c r="BD27" s="123"/>
    </row>
    <row r="28" spans="1:56" ht="12.75">
      <c r="A28" s="66">
        <v>177</v>
      </c>
      <c r="B28" s="66" t="str">
        <f>'Comp 25-26'!A24</f>
        <v>Fortney, Geralyn</v>
      </c>
      <c r="C28" s="66"/>
      <c r="D28" s="66" t="str">
        <f>'Comp 25-26'!C24</f>
        <v>Shine Program Manager</v>
      </c>
      <c r="E28" s="66"/>
      <c r="F28" s="66"/>
      <c r="G28" s="74">
        <f>'Comp 25-26'!T24</f>
        <v>67748.914349999992</v>
      </c>
      <c r="H28" s="278">
        <f>$G28*'2026 Labor Alloc %'!D28</f>
        <v>0</v>
      </c>
      <c r="I28" s="278">
        <f>$G28*'2026 Labor Alloc %'!E28</f>
        <v>0</v>
      </c>
      <c r="J28" s="278">
        <f>$G28*'2026 Labor Alloc %'!F28</f>
        <v>0</v>
      </c>
      <c r="K28" s="278">
        <f>$G28*'2026 Labor Alloc %'!G28</f>
        <v>0</v>
      </c>
      <c r="L28" s="278">
        <f>$G28*'2026 Labor Alloc %'!H28</f>
        <v>0</v>
      </c>
      <c r="M28" s="278">
        <f>$G28*'2026 Labor Alloc %'!I28</f>
        <v>0</v>
      </c>
      <c r="N28" s="278">
        <f>$G28*'2026 Labor Alloc %'!J28</f>
        <v>0</v>
      </c>
      <c r="O28" s="278">
        <f>$G28*'2026 Labor Alloc %'!K28</f>
        <v>0</v>
      </c>
      <c r="P28" s="278">
        <f>$G28*'2026 Labor Alloc %'!L28</f>
        <v>0</v>
      </c>
      <c r="Q28" s="278">
        <f>$G28*'2026 Labor Alloc %'!M28</f>
        <v>0</v>
      </c>
      <c r="R28" s="278">
        <f>$G28*'2026 Labor Alloc %'!N28</f>
        <v>16937.228587499998</v>
      </c>
      <c r="S28" s="278">
        <f>$G28*'2026 Labor Alloc %'!O28</f>
        <v>44036.7943275</v>
      </c>
      <c r="T28" s="278">
        <f>$G28*'2026 Labor Alloc %'!P28</f>
        <v>6774.8914349999995</v>
      </c>
      <c r="U28" s="278">
        <f>$G28*'2026 Labor Alloc %'!Q28</f>
        <v>0</v>
      </c>
      <c r="V28" s="278">
        <f>$G28*'2026 Labor Alloc %'!R28</f>
        <v>0</v>
      </c>
      <c r="W28" s="278">
        <f>$G28*'2026 Labor Alloc %'!S28</f>
        <v>0</v>
      </c>
      <c r="X28" s="278">
        <f>$G28*'2026 Labor Alloc %'!T28</f>
        <v>0</v>
      </c>
      <c r="Y28" s="278">
        <f>$G28*'2026 Labor Alloc %'!U28</f>
        <v>0</v>
      </c>
      <c r="Z28" s="278">
        <f>$G28*'2026 Labor Alloc %'!V28</f>
        <v>0</v>
      </c>
      <c r="AA28" s="278">
        <f>$G28*'2026 Labor Alloc %'!W28</f>
        <v>0</v>
      </c>
      <c r="AB28" s="278">
        <f>$G28*'2026 Labor Alloc %'!X28</f>
        <v>0</v>
      </c>
      <c r="AC28" s="278">
        <f>$G28*'2026 Labor Alloc %'!Y28</f>
        <v>0</v>
      </c>
      <c r="AD28" s="278">
        <f>$G28*'2026 Labor Alloc %'!Z28</f>
        <v>0</v>
      </c>
      <c r="AE28" s="278">
        <f>$G28*'2026 Labor Alloc %'!AA28</f>
        <v>0</v>
      </c>
      <c r="AF28" s="278">
        <f>$G28*'2026 Labor Alloc %'!AB28</f>
        <v>0</v>
      </c>
      <c r="AG28" s="278">
        <f>$G28*'2026 Labor Alloc %'!AC28</f>
        <v>0</v>
      </c>
      <c r="AH28" s="278">
        <f>$G28*'2026 Labor Alloc %'!AD28</f>
        <v>0</v>
      </c>
      <c r="AI28" s="278">
        <f>$G28*'2026 Labor Alloc %'!AE28</f>
        <v>0</v>
      </c>
      <c r="AJ28" s="278">
        <f>$G28*'2026 Labor Alloc %'!AF28</f>
        <v>0</v>
      </c>
      <c r="AK28" s="278">
        <f>$G28*'2026 Labor Alloc %'!AG28</f>
        <v>0</v>
      </c>
      <c r="AL28" s="278">
        <f>$G28*'2026 Labor Alloc %'!AH28</f>
        <v>0</v>
      </c>
      <c r="AM28" s="278">
        <f>$G28*'2026 Labor Alloc %'!AI28</f>
        <v>0</v>
      </c>
      <c r="AN28" s="278">
        <f>$G28*'2026 Labor Alloc %'!AJ28</f>
        <v>0</v>
      </c>
      <c r="AO28" s="278">
        <f>$G28*'2026 Labor Alloc %'!AK28</f>
        <v>0</v>
      </c>
      <c r="AP28" s="278">
        <f>$G28*'2026 Labor Alloc %'!AL28</f>
        <v>0</v>
      </c>
      <c r="AQ28" s="278">
        <f>$G28*'2026 Labor Alloc %'!AM28</f>
        <v>0</v>
      </c>
      <c r="AR28" s="278">
        <f>$G28*'2026 Labor Alloc %'!AN28</f>
        <v>0</v>
      </c>
      <c r="AS28" s="278">
        <f>$G28*'2026 Labor Alloc %'!AO28</f>
        <v>0</v>
      </c>
      <c r="AT28" s="278">
        <f>$G28*'2026 Labor Alloc %'!AP28</f>
        <v>0</v>
      </c>
      <c r="AU28" s="278">
        <f>$G28*'2026 Labor Alloc %'!AQ28</f>
        <v>0</v>
      </c>
      <c r="AV28" s="278">
        <f>$G28*'2026 Labor Alloc %'!AR28</f>
        <v>0</v>
      </c>
      <c r="AW28" s="278">
        <f>$G28*'2026 Labor Alloc %'!AS28</f>
        <v>0</v>
      </c>
      <c r="AX28" s="278">
        <f>$G28*'2026 Labor Alloc %'!AT28</f>
        <v>0</v>
      </c>
      <c r="AY28" s="278">
        <f>$G28*'2026 Labor Alloc %'!AU28</f>
        <v>0</v>
      </c>
      <c r="AZ28" s="278">
        <f t="shared" si="1"/>
        <v>67748.914349999992</v>
      </c>
      <c r="BA28" s="278">
        <f t="shared" si="0"/>
        <v>0</v>
      </c>
      <c r="BD28" s="123"/>
    </row>
    <row r="29" spans="1:56" ht="12.75">
      <c r="A29" s="66">
        <v>179</v>
      </c>
      <c r="B29" s="66" t="str">
        <f>'Comp 25-26'!A25</f>
        <v>Kershaw, Nayomi</v>
      </c>
      <c r="C29" s="66"/>
      <c r="D29" s="66" t="str">
        <f>'Comp 25-26'!C25</f>
        <v xml:space="preserve">Program Manager ADI </v>
      </c>
      <c r="E29" s="66"/>
      <c r="F29" s="66"/>
      <c r="G29" s="74">
        <f>'Comp 25-26'!T25</f>
        <v>54989.853750000002</v>
      </c>
      <c r="H29" s="278">
        <f>$G29*'2026 Labor Alloc %'!D29</f>
        <v>0</v>
      </c>
      <c r="I29" s="278">
        <f>$G29*'2026 Labor Alloc %'!E29</f>
        <v>0</v>
      </c>
      <c r="J29" s="278">
        <f>$G29*'2026 Labor Alloc %'!F29</f>
        <v>0</v>
      </c>
      <c r="K29" s="278">
        <f>$G29*'2026 Labor Alloc %'!G29</f>
        <v>0</v>
      </c>
      <c r="L29" s="278">
        <f>$G29*'2026 Labor Alloc %'!H29</f>
        <v>0</v>
      </c>
      <c r="M29" s="278">
        <f>$G29*'2026 Labor Alloc %'!I29</f>
        <v>0</v>
      </c>
      <c r="N29" s="278">
        <f>$G29*'2026 Labor Alloc %'!J29</f>
        <v>0</v>
      </c>
      <c r="O29" s="278">
        <f>$G29*'2026 Labor Alloc %'!K29</f>
        <v>0</v>
      </c>
      <c r="P29" s="278">
        <f>$G29*'2026 Labor Alloc %'!L29</f>
        <v>27494.926875000001</v>
      </c>
      <c r="Q29" s="278">
        <f>$G29*'2026 Labor Alloc %'!M29</f>
        <v>0</v>
      </c>
      <c r="R29" s="278">
        <f>$G29*'2026 Labor Alloc %'!N29</f>
        <v>0</v>
      </c>
      <c r="S29" s="278">
        <f>$G29*'2026 Labor Alloc %'!O29</f>
        <v>0</v>
      </c>
      <c r="T29" s="278">
        <f>$G29*'2026 Labor Alloc %'!P29</f>
        <v>0</v>
      </c>
      <c r="U29" s="278">
        <f>$G29*'2026 Labor Alloc %'!Q29</f>
        <v>0</v>
      </c>
      <c r="V29" s="278">
        <f>$G29*'2026 Labor Alloc %'!R29</f>
        <v>27494.926875000001</v>
      </c>
      <c r="W29" s="278">
        <f>$G29*'2026 Labor Alloc %'!S29</f>
        <v>0</v>
      </c>
      <c r="X29" s="278">
        <f>$G29*'2026 Labor Alloc %'!T29</f>
        <v>0</v>
      </c>
      <c r="Y29" s="278">
        <f>$G29*'2026 Labor Alloc %'!U29</f>
        <v>0</v>
      </c>
      <c r="Z29" s="278">
        <f>$G29*'2026 Labor Alloc %'!V29</f>
        <v>0</v>
      </c>
      <c r="AA29" s="278">
        <f>$G29*'2026 Labor Alloc %'!W29</f>
        <v>0</v>
      </c>
      <c r="AB29" s="278">
        <f>$G29*'2026 Labor Alloc %'!X29</f>
        <v>0</v>
      </c>
      <c r="AC29" s="278">
        <f>$G29*'2026 Labor Alloc %'!Y29</f>
        <v>0</v>
      </c>
      <c r="AD29" s="278">
        <f>$G29*'2026 Labor Alloc %'!Z29</f>
        <v>0</v>
      </c>
      <c r="AE29" s="278">
        <f>$G29*'2026 Labor Alloc %'!AA29</f>
        <v>0</v>
      </c>
      <c r="AF29" s="278">
        <f>$G29*'2026 Labor Alloc %'!AB29</f>
        <v>0</v>
      </c>
      <c r="AG29" s="278">
        <f>$G29*'2026 Labor Alloc %'!AC29</f>
        <v>0</v>
      </c>
      <c r="AH29" s="278">
        <f>$G29*'2026 Labor Alloc %'!AD29</f>
        <v>0</v>
      </c>
      <c r="AI29" s="278">
        <f>$G29*'2026 Labor Alloc %'!AE29</f>
        <v>0</v>
      </c>
      <c r="AJ29" s="278">
        <f>$G29*'2026 Labor Alloc %'!AF29</f>
        <v>0</v>
      </c>
      <c r="AK29" s="278">
        <f>$G29*'2026 Labor Alloc %'!AG29</f>
        <v>0</v>
      </c>
      <c r="AL29" s="278">
        <f>$G29*'2026 Labor Alloc %'!AH29</f>
        <v>0</v>
      </c>
      <c r="AM29" s="278">
        <f>$G29*'2026 Labor Alloc %'!AI29</f>
        <v>0</v>
      </c>
      <c r="AN29" s="278">
        <f>$G29*'2026 Labor Alloc %'!AJ29</f>
        <v>0</v>
      </c>
      <c r="AO29" s="278">
        <f>$G29*'2026 Labor Alloc %'!AK29</f>
        <v>0</v>
      </c>
      <c r="AP29" s="278">
        <f>$G29*'2026 Labor Alloc %'!AL29</f>
        <v>0</v>
      </c>
      <c r="AQ29" s="278">
        <f>$G29*'2026 Labor Alloc %'!AM29</f>
        <v>0</v>
      </c>
      <c r="AR29" s="278">
        <f>$G29*'2026 Labor Alloc %'!AN29</f>
        <v>0</v>
      </c>
      <c r="AS29" s="278">
        <f>$G29*'2026 Labor Alloc %'!AO29</f>
        <v>0</v>
      </c>
      <c r="AT29" s="278">
        <f>$G29*'2026 Labor Alloc %'!AP29</f>
        <v>0</v>
      </c>
      <c r="AU29" s="278">
        <f>$G29*'2026 Labor Alloc %'!AQ29</f>
        <v>0</v>
      </c>
      <c r="AV29" s="278">
        <f>$G29*'2026 Labor Alloc %'!AR29</f>
        <v>0</v>
      </c>
      <c r="AW29" s="278">
        <f>$G29*'2026 Labor Alloc %'!AS29</f>
        <v>0</v>
      </c>
      <c r="AX29" s="278">
        <f>$G29*'2026 Labor Alloc %'!AT29</f>
        <v>0</v>
      </c>
      <c r="AY29" s="278">
        <f>$G29*'2026 Labor Alloc %'!AU29</f>
        <v>0</v>
      </c>
      <c r="AZ29" s="278">
        <f t="shared" si="1"/>
        <v>54989.853750000002</v>
      </c>
      <c r="BA29" s="278">
        <f t="shared" si="0"/>
        <v>0</v>
      </c>
      <c r="BD29" s="123"/>
    </row>
    <row r="30" spans="1:56" ht="12.75">
      <c r="A30" s="66">
        <v>189</v>
      </c>
      <c r="B30" s="66" t="str">
        <f>'Comp 25-26'!A26</f>
        <v>Vacant</v>
      </c>
      <c r="C30" s="66"/>
      <c r="D30" s="66" t="str">
        <f>'Comp 25-26'!C26</f>
        <v>Medicaid Benefits Counselor</v>
      </c>
      <c r="E30" s="66"/>
      <c r="F30" s="66"/>
      <c r="G30" s="74">
        <f>'Comp 25-26'!T26</f>
        <v>41257.125</v>
      </c>
      <c r="H30" s="278">
        <f>$G30*'2026 Labor Alloc %'!D30</f>
        <v>0</v>
      </c>
      <c r="I30" s="278">
        <f>$G30*'2026 Labor Alloc %'!E30</f>
        <v>0</v>
      </c>
      <c r="J30" s="278">
        <f>$G30*'2026 Labor Alloc %'!F30</f>
        <v>0</v>
      </c>
      <c r="K30" s="278">
        <f>$G30*'2026 Labor Alloc %'!G30</f>
        <v>0</v>
      </c>
      <c r="L30" s="278">
        <f>$G30*'2026 Labor Alloc %'!H30</f>
        <v>0</v>
      </c>
      <c r="M30" s="278">
        <f>$G30*'2026 Labor Alloc %'!I30</f>
        <v>0</v>
      </c>
      <c r="N30" s="278">
        <f>$G30*'2026 Labor Alloc %'!J30</f>
        <v>0</v>
      </c>
      <c r="O30" s="278">
        <f>$G30*'2026 Labor Alloc %'!K30</f>
        <v>0</v>
      </c>
      <c r="P30" s="278">
        <f>$G30*'2026 Labor Alloc %'!L30</f>
        <v>0</v>
      </c>
      <c r="Q30" s="278">
        <f>$G30*'2026 Labor Alloc %'!M30</f>
        <v>0</v>
      </c>
      <c r="R30" s="278">
        <f>$G30*'2026 Labor Alloc %'!N30</f>
        <v>0</v>
      </c>
      <c r="S30" s="278">
        <f>$G30*'2026 Labor Alloc %'!O30</f>
        <v>0</v>
      </c>
      <c r="T30" s="278">
        <f>$G30*'2026 Labor Alloc %'!P30</f>
        <v>0</v>
      </c>
      <c r="U30" s="278">
        <f>$G30*'2026 Labor Alloc %'!Q30</f>
        <v>0</v>
      </c>
      <c r="V30" s="278">
        <f>$G30*'2026 Labor Alloc %'!R30</f>
        <v>0</v>
      </c>
      <c r="W30" s="278">
        <f>$G30*'2026 Labor Alloc %'!S30</f>
        <v>0</v>
      </c>
      <c r="X30" s="278">
        <f>$G30*'2026 Labor Alloc %'!T30</f>
        <v>0</v>
      </c>
      <c r="Y30" s="278">
        <f>$G30*'2026 Labor Alloc %'!U30</f>
        <v>41257.125</v>
      </c>
      <c r="Z30" s="278">
        <f>$G30*'2026 Labor Alloc %'!V30</f>
        <v>0</v>
      </c>
      <c r="AA30" s="278">
        <f>$G30*'2026 Labor Alloc %'!W30</f>
        <v>0</v>
      </c>
      <c r="AB30" s="278">
        <f>$G30*'2026 Labor Alloc %'!X30</f>
        <v>0</v>
      </c>
      <c r="AC30" s="278">
        <f>$G30*'2026 Labor Alloc %'!Y30</f>
        <v>0</v>
      </c>
      <c r="AD30" s="278">
        <f>$G30*'2026 Labor Alloc %'!Z30</f>
        <v>0</v>
      </c>
      <c r="AE30" s="278">
        <f>$G30*'2026 Labor Alloc %'!AA30</f>
        <v>0</v>
      </c>
      <c r="AF30" s="278">
        <f>$G30*'2026 Labor Alloc %'!AB30</f>
        <v>0</v>
      </c>
      <c r="AG30" s="278">
        <f>$G30*'2026 Labor Alloc %'!AC30</f>
        <v>0</v>
      </c>
      <c r="AH30" s="278">
        <f>$G30*'2026 Labor Alloc %'!AD30</f>
        <v>0</v>
      </c>
      <c r="AI30" s="278">
        <f>$G30*'2026 Labor Alloc %'!AE30</f>
        <v>0</v>
      </c>
      <c r="AJ30" s="278">
        <f>$G30*'2026 Labor Alloc %'!AF30</f>
        <v>0</v>
      </c>
      <c r="AK30" s="278">
        <f>$G30*'2026 Labor Alloc %'!AG30</f>
        <v>0</v>
      </c>
      <c r="AL30" s="278">
        <f>$G30*'2026 Labor Alloc %'!AH30</f>
        <v>0</v>
      </c>
      <c r="AM30" s="278">
        <f>$G30*'2026 Labor Alloc %'!AI30</f>
        <v>0</v>
      </c>
      <c r="AN30" s="278">
        <f>$G30*'2026 Labor Alloc %'!AJ30</f>
        <v>0</v>
      </c>
      <c r="AO30" s="278">
        <f>$G30*'2026 Labor Alloc %'!AK30</f>
        <v>0</v>
      </c>
      <c r="AP30" s="278">
        <f>$G30*'2026 Labor Alloc %'!AL30</f>
        <v>0</v>
      </c>
      <c r="AQ30" s="278">
        <f>$G30*'2026 Labor Alloc %'!AM30</f>
        <v>0</v>
      </c>
      <c r="AR30" s="278">
        <f>$G30*'2026 Labor Alloc %'!AN30</f>
        <v>0</v>
      </c>
      <c r="AS30" s="278">
        <f>$G30*'2026 Labor Alloc %'!AO30</f>
        <v>0</v>
      </c>
      <c r="AT30" s="278">
        <f>$G30*'2026 Labor Alloc %'!AP30</f>
        <v>0</v>
      </c>
      <c r="AU30" s="278">
        <f>$G30*'2026 Labor Alloc %'!AQ30</f>
        <v>0</v>
      </c>
      <c r="AV30" s="278">
        <f>$G30*'2026 Labor Alloc %'!AR30</f>
        <v>0</v>
      </c>
      <c r="AW30" s="278">
        <f>$G30*'2026 Labor Alloc %'!AS30</f>
        <v>0</v>
      </c>
      <c r="AX30" s="278">
        <f>$G30*'2026 Labor Alloc %'!AT30</f>
        <v>0</v>
      </c>
      <c r="AY30" s="278">
        <f>$G30*'2026 Labor Alloc %'!AU30</f>
        <v>0</v>
      </c>
      <c r="AZ30" s="278">
        <f t="shared" si="1"/>
        <v>41257.125</v>
      </c>
      <c r="BA30" s="278">
        <f t="shared" si="0"/>
        <v>0</v>
      </c>
      <c r="BD30" s="123"/>
    </row>
    <row r="31" spans="1:56" ht="12.75">
      <c r="A31" s="66">
        <v>190</v>
      </c>
      <c r="B31" s="66" t="str">
        <f>'Comp 25-26'!A27</f>
        <v>Guerra, Luz Josefina</v>
      </c>
      <c r="C31" s="66"/>
      <c r="D31" s="66" t="str">
        <f>'Comp 25-26'!C27</f>
        <v>Medicaid Benefits Counselor</v>
      </c>
      <c r="E31" s="66"/>
      <c r="F31" s="66"/>
      <c r="G31" s="74">
        <f>'Comp 25-26'!T27</f>
        <v>47270.449199999995</v>
      </c>
      <c r="H31" s="278">
        <f>$G31*'2026 Labor Alloc %'!D31</f>
        <v>0</v>
      </c>
      <c r="I31" s="278">
        <f>$G31*'2026 Labor Alloc %'!E31</f>
        <v>0</v>
      </c>
      <c r="J31" s="278">
        <f>$G31*'2026 Labor Alloc %'!F31</f>
        <v>0</v>
      </c>
      <c r="K31" s="278">
        <f>$G31*'2026 Labor Alloc %'!G31</f>
        <v>0</v>
      </c>
      <c r="L31" s="278">
        <f>$G31*'2026 Labor Alloc %'!H31</f>
        <v>0</v>
      </c>
      <c r="M31" s="278">
        <f>$G31*'2026 Labor Alloc %'!I31</f>
        <v>0</v>
      </c>
      <c r="N31" s="278">
        <f>$G31*'2026 Labor Alloc %'!J31</f>
        <v>0</v>
      </c>
      <c r="O31" s="278">
        <f>$G31*'2026 Labor Alloc %'!K31</f>
        <v>0</v>
      </c>
      <c r="P31" s="278">
        <f>$G31*'2026 Labor Alloc %'!L31</f>
        <v>0</v>
      </c>
      <c r="Q31" s="278">
        <f>$G31*'2026 Labor Alloc %'!M31</f>
        <v>0</v>
      </c>
      <c r="R31" s="278">
        <f>$G31*'2026 Labor Alloc %'!N31</f>
        <v>0</v>
      </c>
      <c r="S31" s="278">
        <f>$G31*'2026 Labor Alloc %'!O31</f>
        <v>0</v>
      </c>
      <c r="T31" s="278">
        <f>$G31*'2026 Labor Alloc %'!P31</f>
        <v>0</v>
      </c>
      <c r="U31" s="278">
        <f>$G31*'2026 Labor Alloc %'!Q31</f>
        <v>0</v>
      </c>
      <c r="V31" s="278">
        <f>$G31*'2026 Labor Alloc %'!R31</f>
        <v>0</v>
      </c>
      <c r="W31" s="278">
        <f>$G31*'2026 Labor Alloc %'!S31</f>
        <v>0</v>
      </c>
      <c r="X31" s="278">
        <f>$G31*'2026 Labor Alloc %'!T31</f>
        <v>0</v>
      </c>
      <c r="Y31" s="278">
        <f>$G31*'2026 Labor Alloc %'!U31</f>
        <v>0</v>
      </c>
      <c r="Z31" s="278">
        <f>$G31*'2026 Labor Alloc %'!V31</f>
        <v>0</v>
      </c>
      <c r="AA31" s="278">
        <f>$G31*'2026 Labor Alloc %'!W31</f>
        <v>0</v>
      </c>
      <c r="AB31" s="278">
        <f>$G31*'2026 Labor Alloc %'!X31</f>
        <v>0</v>
      </c>
      <c r="AC31" s="278">
        <f>$G31*'2026 Labor Alloc %'!Y31</f>
        <v>47270.449199999995</v>
      </c>
      <c r="AD31" s="278">
        <f>$G31*'2026 Labor Alloc %'!Z31</f>
        <v>0</v>
      </c>
      <c r="AE31" s="278">
        <f>$G31*'2026 Labor Alloc %'!AA31</f>
        <v>0</v>
      </c>
      <c r="AF31" s="278">
        <f>$G31*'2026 Labor Alloc %'!AB31</f>
        <v>0</v>
      </c>
      <c r="AG31" s="278">
        <f>$G31*'2026 Labor Alloc %'!AC31</f>
        <v>0</v>
      </c>
      <c r="AH31" s="278">
        <f>$G31*'2026 Labor Alloc %'!AD31</f>
        <v>0</v>
      </c>
      <c r="AI31" s="278">
        <f>$G31*'2026 Labor Alloc %'!AE31</f>
        <v>0</v>
      </c>
      <c r="AJ31" s="278">
        <f>$G31*'2026 Labor Alloc %'!AF31</f>
        <v>0</v>
      </c>
      <c r="AK31" s="278">
        <f>$G31*'2026 Labor Alloc %'!AG31</f>
        <v>0</v>
      </c>
      <c r="AL31" s="278">
        <f>$G31*'2026 Labor Alloc %'!AH31</f>
        <v>0</v>
      </c>
      <c r="AM31" s="278">
        <f>$G31*'2026 Labor Alloc %'!AI31</f>
        <v>0</v>
      </c>
      <c r="AN31" s="278">
        <f>$G31*'2026 Labor Alloc %'!AJ31</f>
        <v>0</v>
      </c>
      <c r="AO31" s="278">
        <f>$G31*'2026 Labor Alloc %'!AK31</f>
        <v>0</v>
      </c>
      <c r="AP31" s="278">
        <f>$G31*'2026 Labor Alloc %'!AL31</f>
        <v>0</v>
      </c>
      <c r="AQ31" s="278">
        <f>$G31*'2026 Labor Alloc %'!AM31</f>
        <v>0</v>
      </c>
      <c r="AR31" s="278">
        <f>$G31*'2026 Labor Alloc %'!AN31</f>
        <v>0</v>
      </c>
      <c r="AS31" s="278">
        <f>$G31*'2026 Labor Alloc %'!AO31</f>
        <v>0</v>
      </c>
      <c r="AT31" s="278">
        <f>$G31*'2026 Labor Alloc %'!AP31</f>
        <v>0</v>
      </c>
      <c r="AU31" s="278">
        <f>$G31*'2026 Labor Alloc %'!AQ31</f>
        <v>0</v>
      </c>
      <c r="AV31" s="278">
        <f>$G31*'2026 Labor Alloc %'!AR31</f>
        <v>0</v>
      </c>
      <c r="AW31" s="278">
        <f>$G31*'2026 Labor Alloc %'!AS31</f>
        <v>0</v>
      </c>
      <c r="AX31" s="278">
        <f>$G31*'2026 Labor Alloc %'!AT31</f>
        <v>0</v>
      </c>
      <c r="AY31" s="278">
        <f>$G31*'2026 Labor Alloc %'!AU31</f>
        <v>0</v>
      </c>
      <c r="AZ31" s="278">
        <f t="shared" si="1"/>
        <v>47270.449199999995</v>
      </c>
      <c r="BA31" s="278">
        <f t="shared" si="0"/>
        <v>0</v>
      </c>
      <c r="BD31" s="123"/>
    </row>
    <row r="32" spans="1:56" ht="12.75">
      <c r="A32" s="66">
        <v>263</v>
      </c>
      <c r="B32" s="66" t="str">
        <f>'Comp 25-26'!A28</f>
        <v>Handa, Parul</v>
      </c>
      <c r="C32" s="66"/>
      <c r="D32" s="66" t="str">
        <f>'Comp 25-26'!C28</f>
        <v>Grant Accountant</v>
      </c>
      <c r="E32" s="66"/>
      <c r="F32" s="66"/>
      <c r="G32" s="74">
        <f>'Comp 25-26'!T28</f>
        <v>63114.953362499997</v>
      </c>
      <c r="H32" s="278">
        <f>$G32*'2026 Labor Alloc %'!D32</f>
        <v>0</v>
      </c>
      <c r="I32" s="278">
        <f>$G32*'2026 Labor Alloc %'!E32</f>
        <v>1893.4486008749998</v>
      </c>
      <c r="J32" s="278">
        <f>$G32*'2026 Labor Alloc %'!F32</f>
        <v>0</v>
      </c>
      <c r="K32" s="278">
        <f>$G32*'2026 Labor Alloc %'!G32</f>
        <v>15778.738340624999</v>
      </c>
      <c r="L32" s="278">
        <f>$G32*'2026 Labor Alloc %'!H32</f>
        <v>0</v>
      </c>
      <c r="M32" s="278">
        <f>$G32*'2026 Labor Alloc %'!I32</f>
        <v>0</v>
      </c>
      <c r="N32" s="278">
        <f>$G32*'2026 Labor Alloc %'!J32</f>
        <v>0</v>
      </c>
      <c r="O32" s="278">
        <f>$G32*'2026 Labor Alloc %'!K32</f>
        <v>0</v>
      </c>
      <c r="P32" s="278">
        <f>$G32*'2026 Labor Alloc %'!L32</f>
        <v>6311.49533625</v>
      </c>
      <c r="Q32" s="278">
        <f>$G32*'2026 Labor Alloc %'!M32</f>
        <v>3944.6845851562498</v>
      </c>
      <c r="R32" s="278">
        <f>$G32*'2026 Labor Alloc %'!N32</f>
        <v>0</v>
      </c>
      <c r="S32" s="278">
        <f>$G32*'2026 Labor Alloc %'!O32</f>
        <v>0</v>
      </c>
      <c r="T32" s="278">
        <f>$G32*'2026 Labor Alloc %'!P32</f>
        <v>0</v>
      </c>
      <c r="U32" s="278">
        <f>$G32*'2026 Labor Alloc %'!Q32</f>
        <v>0</v>
      </c>
      <c r="V32" s="278">
        <f>$G32*'2026 Labor Alloc %'!R32</f>
        <v>18934.486008749998</v>
      </c>
      <c r="W32" s="278">
        <f>$G32*'2026 Labor Alloc %'!S32</f>
        <v>0</v>
      </c>
      <c r="X32" s="278">
        <f>$G32*'2026 Labor Alloc %'!T32</f>
        <v>0</v>
      </c>
      <c r="Y32" s="278">
        <f>$G32*'2026 Labor Alloc %'!U32</f>
        <v>0</v>
      </c>
      <c r="Z32" s="278">
        <f>$G32*'2026 Labor Alloc %'!V32</f>
        <v>0</v>
      </c>
      <c r="AA32" s="278">
        <f>$G32*'2026 Labor Alloc %'!W32</f>
        <v>0</v>
      </c>
      <c r="AB32" s="278">
        <f>$G32*'2026 Labor Alloc %'!X32</f>
        <v>0</v>
      </c>
      <c r="AC32" s="278">
        <f>$G32*'2026 Labor Alloc %'!Y32</f>
        <v>0</v>
      </c>
      <c r="AD32" s="278">
        <f>$G32*'2026 Labor Alloc %'!Z32</f>
        <v>0</v>
      </c>
      <c r="AE32" s="278">
        <f>$G32*'2026 Labor Alloc %'!AA32</f>
        <v>0</v>
      </c>
      <c r="AF32" s="278">
        <f>$G32*'2026 Labor Alloc %'!AB32</f>
        <v>0</v>
      </c>
      <c r="AG32" s="278">
        <f>$G32*'2026 Labor Alloc %'!AC32</f>
        <v>0</v>
      </c>
      <c r="AH32" s="278">
        <f>$G32*'2026 Labor Alloc %'!AD32</f>
        <v>3786.8972017499996</v>
      </c>
      <c r="AI32" s="278">
        <f>$G32*'2026 Labor Alloc %'!AE32</f>
        <v>2997.9602847187498</v>
      </c>
      <c r="AJ32" s="278">
        <f>$G32*'2026 Labor Alloc %'!AF32</f>
        <v>0</v>
      </c>
      <c r="AK32" s="278">
        <f>$G32*'2026 Labor Alloc %'!AG32</f>
        <v>0</v>
      </c>
      <c r="AL32" s="278">
        <f>$G32*'2026 Labor Alloc %'!AH32</f>
        <v>0</v>
      </c>
      <c r="AM32" s="278">
        <f>$G32*'2026 Labor Alloc %'!AI32</f>
        <v>0</v>
      </c>
      <c r="AN32" s="278">
        <f>$G32*'2026 Labor Alloc %'!AJ32</f>
        <v>0</v>
      </c>
      <c r="AO32" s="278">
        <f>$G32*'2026 Labor Alloc %'!AK32</f>
        <v>0</v>
      </c>
      <c r="AP32" s="278">
        <f>$G32*'2026 Labor Alloc %'!AL32</f>
        <v>0</v>
      </c>
      <c r="AQ32" s="278">
        <f>$G32*'2026 Labor Alloc %'!AM32</f>
        <v>0</v>
      </c>
      <c r="AR32" s="278">
        <f>$G32*'2026 Labor Alloc %'!AN32</f>
        <v>0</v>
      </c>
      <c r="AS32" s="278">
        <f>$G32*'2026 Labor Alloc %'!AO32</f>
        <v>0</v>
      </c>
      <c r="AT32" s="278">
        <f>$G32*'2026 Labor Alloc %'!AP32</f>
        <v>0</v>
      </c>
      <c r="AU32" s="278">
        <f>$G32*'2026 Labor Alloc %'!AQ32</f>
        <v>0</v>
      </c>
      <c r="AV32" s="278">
        <f>$G32*'2026 Labor Alloc %'!AR32</f>
        <v>0</v>
      </c>
      <c r="AW32" s="278">
        <f>$G32*'2026 Labor Alloc %'!AS32</f>
        <v>0</v>
      </c>
      <c r="AX32" s="278">
        <f>$G32*'2026 Labor Alloc %'!AT32</f>
        <v>3155.747668125</v>
      </c>
      <c r="AY32" s="278">
        <f>$G32*'2026 Labor Alloc %'!AU32</f>
        <v>6311.49533625</v>
      </c>
      <c r="AZ32" s="278">
        <f t="shared" si="1"/>
        <v>63114.953362499989</v>
      </c>
      <c r="BA32" s="278">
        <f t="shared" si="0"/>
        <v>0</v>
      </c>
      <c r="BD32" s="123"/>
    </row>
    <row r="33" spans="1:56" ht="12.75">
      <c r="A33" s="66">
        <v>191</v>
      </c>
      <c r="B33" s="66" t="str">
        <f>'Comp 25-26'!A29</f>
        <v>Hart, Edward</v>
      </c>
      <c r="C33" s="66"/>
      <c r="D33" s="66" t="str">
        <f>'Comp 25-26'!C29</f>
        <v>Information &amp; Assistance Specialist</v>
      </c>
      <c r="E33" s="66"/>
      <c r="F33" s="66"/>
      <c r="G33" s="74">
        <f>'Comp 25-26'!T29</f>
        <v>45165.942900000002</v>
      </c>
      <c r="H33" s="278">
        <f>$G33*'2026 Labor Alloc %'!D33</f>
        <v>0</v>
      </c>
      <c r="I33" s="278">
        <f>$G33*'2026 Labor Alloc %'!E33</f>
        <v>26196.246881999999</v>
      </c>
      <c r="J33" s="278">
        <f>$G33*'2026 Labor Alloc %'!F33</f>
        <v>0</v>
      </c>
      <c r="K33" s="278">
        <f>$G33*'2026 Labor Alloc %'!G33</f>
        <v>0</v>
      </c>
      <c r="L33" s="278">
        <f>$G33*'2026 Labor Alloc %'!H33</f>
        <v>0</v>
      </c>
      <c r="M33" s="278">
        <f>$G33*'2026 Labor Alloc %'!I33</f>
        <v>0</v>
      </c>
      <c r="N33" s="278">
        <f>$G33*'2026 Labor Alloc %'!J33</f>
        <v>0</v>
      </c>
      <c r="O33" s="278">
        <f>$G33*'2026 Labor Alloc %'!K33</f>
        <v>0</v>
      </c>
      <c r="P33" s="278">
        <f>$G33*'2026 Labor Alloc %'!L33</f>
        <v>0</v>
      </c>
      <c r="Q33" s="278">
        <f>$G33*'2026 Labor Alloc %'!M33</f>
        <v>0</v>
      </c>
      <c r="R33" s="278">
        <f>$G33*'2026 Labor Alloc %'!N33</f>
        <v>0</v>
      </c>
      <c r="S33" s="278">
        <f>$G33*'2026 Labor Alloc %'!O33</f>
        <v>0</v>
      </c>
      <c r="T33" s="278">
        <f>$G33*'2026 Labor Alloc %'!P33</f>
        <v>0</v>
      </c>
      <c r="U33" s="278">
        <f>$G33*'2026 Labor Alloc %'!Q33</f>
        <v>0</v>
      </c>
      <c r="V33" s="278">
        <f>$G33*'2026 Labor Alloc %'!R33</f>
        <v>0</v>
      </c>
      <c r="W33" s="278">
        <f>$G33*'2026 Labor Alloc %'!S33</f>
        <v>0</v>
      </c>
      <c r="X33" s="278">
        <f>$G33*'2026 Labor Alloc %'!T33</f>
        <v>0</v>
      </c>
      <c r="Y33" s="278">
        <f>$G33*'2026 Labor Alloc %'!U33</f>
        <v>0</v>
      </c>
      <c r="Z33" s="278">
        <f>$G33*'2026 Labor Alloc %'!V33</f>
        <v>0</v>
      </c>
      <c r="AA33" s="278">
        <f>$G33*'2026 Labor Alloc %'!W33</f>
        <v>0</v>
      </c>
      <c r="AB33" s="278">
        <f>$G33*'2026 Labor Alloc %'!X33</f>
        <v>0</v>
      </c>
      <c r="AC33" s="278">
        <f>$G33*'2026 Labor Alloc %'!Y33</f>
        <v>0</v>
      </c>
      <c r="AD33" s="278">
        <f>$G33*'2026 Labor Alloc %'!Z33</f>
        <v>0</v>
      </c>
      <c r="AE33" s="278">
        <f>$G33*'2026 Labor Alloc %'!AA33</f>
        <v>0</v>
      </c>
      <c r="AF33" s="278">
        <f>$G33*'2026 Labor Alloc %'!AB33</f>
        <v>0</v>
      </c>
      <c r="AG33" s="278">
        <f>$G33*'2026 Labor Alloc %'!AC33</f>
        <v>0</v>
      </c>
      <c r="AH33" s="278">
        <f>$G33*'2026 Labor Alloc %'!AD33</f>
        <v>0</v>
      </c>
      <c r="AI33" s="278">
        <f>$G33*'2026 Labor Alloc %'!AE33</f>
        <v>0</v>
      </c>
      <c r="AJ33" s="278">
        <f>$G33*'2026 Labor Alloc %'!AF33</f>
        <v>0</v>
      </c>
      <c r="AK33" s="278">
        <f>$G33*'2026 Labor Alloc %'!AG33</f>
        <v>0</v>
      </c>
      <c r="AL33" s="278">
        <f>$G33*'2026 Labor Alloc %'!AH33</f>
        <v>0</v>
      </c>
      <c r="AM33" s="278">
        <f>$G33*'2026 Labor Alloc %'!AI33</f>
        <v>0</v>
      </c>
      <c r="AN33" s="278">
        <f>$G33*'2026 Labor Alloc %'!AJ33</f>
        <v>0</v>
      </c>
      <c r="AO33" s="278">
        <f>$G33*'2026 Labor Alloc %'!AK33</f>
        <v>0</v>
      </c>
      <c r="AP33" s="278">
        <f>$G33*'2026 Labor Alloc %'!AL33</f>
        <v>0</v>
      </c>
      <c r="AQ33" s="278">
        <f>$G33*'2026 Labor Alloc %'!AM33</f>
        <v>0</v>
      </c>
      <c r="AR33" s="278">
        <f>$G33*'2026 Labor Alloc %'!AN33</f>
        <v>0</v>
      </c>
      <c r="AS33" s="278">
        <f>$G33*'2026 Labor Alloc %'!AO33</f>
        <v>0</v>
      </c>
      <c r="AT33" s="278">
        <f>$G33*'2026 Labor Alloc %'!AP33</f>
        <v>0</v>
      </c>
      <c r="AU33" s="278">
        <f>$G33*'2026 Labor Alloc %'!AQ33</f>
        <v>18969.696017999999</v>
      </c>
      <c r="AV33" s="278">
        <f>$G33*'2026 Labor Alloc %'!AR33</f>
        <v>0</v>
      </c>
      <c r="AW33" s="278">
        <f>$G33*'2026 Labor Alloc %'!AS33</f>
        <v>0</v>
      </c>
      <c r="AX33" s="278">
        <f>$G33*'2026 Labor Alloc %'!AT33</f>
        <v>0</v>
      </c>
      <c r="AY33" s="278">
        <f>$G33*'2026 Labor Alloc %'!AU33</f>
        <v>0</v>
      </c>
      <c r="AZ33" s="278">
        <f t="shared" si="1"/>
        <v>45165.942899999995</v>
      </c>
      <c r="BA33" s="278">
        <f t="shared" si="0"/>
        <v>0</v>
      </c>
      <c r="BD33" s="123"/>
    </row>
    <row r="34" spans="1:56" ht="12.75">
      <c r="A34" s="66">
        <v>194</v>
      </c>
      <c r="B34" s="66" t="str">
        <f>'Comp 25-26'!A30</f>
        <v>Hazley, Shakeita</v>
      </c>
      <c r="C34" s="66"/>
      <c r="D34" s="66" t="str">
        <f>'Comp 25-26'!C30</f>
        <v>Program Coordinator</v>
      </c>
      <c r="E34" s="66"/>
      <c r="F34" s="66"/>
      <c r="G34" s="74">
        <f>'Comp 25-26'!T30</f>
        <v>50346.266100000001</v>
      </c>
      <c r="H34" s="278">
        <f>$G34*'2026 Labor Alloc %'!D34</f>
        <v>0</v>
      </c>
      <c r="I34" s="278">
        <f>$G34*'2026 Labor Alloc %'!E34</f>
        <v>0</v>
      </c>
      <c r="J34" s="278">
        <f>$G34*'2026 Labor Alloc %'!F34</f>
        <v>11076.178542</v>
      </c>
      <c r="K34" s="278">
        <f>$G34*'2026 Labor Alloc %'!G34</f>
        <v>0</v>
      </c>
      <c r="L34" s="278">
        <f>$G34*'2026 Labor Alloc %'!H34</f>
        <v>0</v>
      </c>
      <c r="M34" s="278">
        <f>$G34*'2026 Labor Alloc %'!I34</f>
        <v>0</v>
      </c>
      <c r="N34" s="278">
        <f>$G34*'2026 Labor Alloc %'!J34</f>
        <v>21648.894423000002</v>
      </c>
      <c r="O34" s="278">
        <f>$G34*'2026 Labor Alloc %'!K34</f>
        <v>2517.3133050000001</v>
      </c>
      <c r="P34" s="278">
        <f>$G34*'2026 Labor Alloc %'!L34</f>
        <v>15103.87983</v>
      </c>
      <c r="Q34" s="278">
        <f>$G34*'2026 Labor Alloc %'!M34</f>
        <v>0</v>
      </c>
      <c r="R34" s="278">
        <f>$G34*'2026 Labor Alloc %'!N34</f>
        <v>0</v>
      </c>
      <c r="S34" s="278">
        <f>$G34*'2026 Labor Alloc %'!O34</f>
        <v>0</v>
      </c>
      <c r="T34" s="278">
        <f>$G34*'2026 Labor Alloc %'!P34</f>
        <v>0</v>
      </c>
      <c r="U34" s="278">
        <f>$G34*'2026 Labor Alloc %'!Q34</f>
        <v>0</v>
      </c>
      <c r="V34" s="278">
        <f>$G34*'2026 Labor Alloc %'!R34</f>
        <v>0</v>
      </c>
      <c r="W34" s="278">
        <f>$G34*'2026 Labor Alloc %'!S34</f>
        <v>0</v>
      </c>
      <c r="X34" s="278">
        <f>$G34*'2026 Labor Alloc %'!T34</f>
        <v>0</v>
      </c>
      <c r="Y34" s="278">
        <f>$G34*'2026 Labor Alloc %'!U34</f>
        <v>0</v>
      </c>
      <c r="Z34" s="278">
        <f>$G34*'2026 Labor Alloc %'!V34</f>
        <v>0</v>
      </c>
      <c r="AA34" s="278">
        <f>$G34*'2026 Labor Alloc %'!W34</f>
        <v>0</v>
      </c>
      <c r="AB34" s="278">
        <f>$G34*'2026 Labor Alloc %'!X34</f>
        <v>0</v>
      </c>
      <c r="AC34" s="278">
        <f>$G34*'2026 Labor Alloc %'!Y34</f>
        <v>0</v>
      </c>
      <c r="AD34" s="278">
        <f>$G34*'2026 Labor Alloc %'!Z34</f>
        <v>0</v>
      </c>
      <c r="AE34" s="278">
        <f>$G34*'2026 Labor Alloc %'!AA34</f>
        <v>0</v>
      </c>
      <c r="AF34" s="278">
        <f>$G34*'2026 Labor Alloc %'!AB34</f>
        <v>0</v>
      </c>
      <c r="AG34" s="278">
        <f>$G34*'2026 Labor Alloc %'!AC34</f>
        <v>0</v>
      </c>
      <c r="AH34" s="278">
        <f>$G34*'2026 Labor Alloc %'!AD34</f>
        <v>0</v>
      </c>
      <c r="AI34" s="278">
        <f>$G34*'2026 Labor Alloc %'!AE34</f>
        <v>0</v>
      </c>
      <c r="AJ34" s="278">
        <f>$G34*'2026 Labor Alloc %'!AF34</f>
        <v>0</v>
      </c>
      <c r="AK34" s="278">
        <f>$G34*'2026 Labor Alloc %'!AG34</f>
        <v>0</v>
      </c>
      <c r="AL34" s="278">
        <f>$G34*'2026 Labor Alloc %'!AH34</f>
        <v>0</v>
      </c>
      <c r="AM34" s="278">
        <f>$G34*'2026 Labor Alloc %'!AI34</f>
        <v>0</v>
      </c>
      <c r="AN34" s="278">
        <f>$G34*'2026 Labor Alloc %'!AJ34</f>
        <v>0</v>
      </c>
      <c r="AO34" s="278">
        <f>$G34*'2026 Labor Alloc %'!AK34</f>
        <v>0</v>
      </c>
      <c r="AP34" s="278">
        <f>$G34*'2026 Labor Alloc %'!AL34</f>
        <v>0</v>
      </c>
      <c r="AQ34" s="278">
        <f>$G34*'2026 Labor Alloc %'!AM34</f>
        <v>0</v>
      </c>
      <c r="AR34" s="278">
        <f>$G34*'2026 Labor Alloc %'!AN34</f>
        <v>0</v>
      </c>
      <c r="AS34" s="278">
        <f>$G34*'2026 Labor Alloc %'!AO34</f>
        <v>0</v>
      </c>
      <c r="AT34" s="278">
        <f>$G34*'2026 Labor Alloc %'!AP34</f>
        <v>0</v>
      </c>
      <c r="AU34" s="278">
        <f>$G34*'2026 Labor Alloc %'!AQ34</f>
        <v>0</v>
      </c>
      <c r="AV34" s="278">
        <f>$G34*'2026 Labor Alloc %'!AR34</f>
        <v>0</v>
      </c>
      <c r="AW34" s="278">
        <f>$G34*'2026 Labor Alloc %'!AS34</f>
        <v>0</v>
      </c>
      <c r="AX34" s="278">
        <f>$G34*'2026 Labor Alloc %'!AT34</f>
        <v>0</v>
      </c>
      <c r="AY34" s="278">
        <f>$G34*'2026 Labor Alloc %'!AU34</f>
        <v>0</v>
      </c>
      <c r="AZ34" s="278">
        <f t="shared" si="1"/>
        <v>50346.266100000001</v>
      </c>
      <c r="BA34" s="278">
        <f t="shared" si="0"/>
        <v>0</v>
      </c>
      <c r="BD34" s="123"/>
    </row>
    <row r="35" spans="1:56" ht="12.75">
      <c r="A35" s="66">
        <v>195</v>
      </c>
      <c r="B35" s="66" t="str">
        <f>'Comp 25-26'!A31</f>
        <v>Hensler, Jody</v>
      </c>
      <c r="C35" s="66"/>
      <c r="D35" s="66" t="str">
        <f>'Comp 25-26'!C31</f>
        <v>Caregiver Specialist Coordinator</v>
      </c>
      <c r="E35" s="66"/>
      <c r="F35" s="66"/>
      <c r="G35" s="74">
        <f>'Comp 25-26'!T31</f>
        <v>59533.5</v>
      </c>
      <c r="H35" s="278">
        <f>$G35*'2026 Labor Alloc %'!D35</f>
        <v>0</v>
      </c>
      <c r="I35" s="278">
        <f>$G35*'2026 Labor Alloc %'!E35</f>
        <v>0</v>
      </c>
      <c r="J35" s="278">
        <f>$G35*'2026 Labor Alloc %'!F35</f>
        <v>0</v>
      </c>
      <c r="K35" s="278">
        <f>$G35*'2026 Labor Alloc %'!G35</f>
        <v>0</v>
      </c>
      <c r="L35" s="278">
        <f>$G35*'2026 Labor Alloc %'!H35</f>
        <v>0</v>
      </c>
      <c r="M35" s="278">
        <f>$G35*'2026 Labor Alloc %'!I35</f>
        <v>0</v>
      </c>
      <c r="N35" s="278">
        <f>$G35*'2026 Labor Alloc %'!J35</f>
        <v>59533.5</v>
      </c>
      <c r="O35" s="278">
        <f>$G35*'2026 Labor Alloc %'!K35</f>
        <v>0</v>
      </c>
      <c r="P35" s="278">
        <f>$G35*'2026 Labor Alloc %'!L35</f>
        <v>0</v>
      </c>
      <c r="Q35" s="278">
        <f>$G35*'2026 Labor Alloc %'!M35</f>
        <v>0</v>
      </c>
      <c r="R35" s="278">
        <f>$G35*'2026 Labor Alloc %'!N35</f>
        <v>0</v>
      </c>
      <c r="S35" s="278">
        <f>$G35*'2026 Labor Alloc %'!O35</f>
        <v>0</v>
      </c>
      <c r="T35" s="278">
        <f>$G35*'2026 Labor Alloc %'!P35</f>
        <v>0</v>
      </c>
      <c r="U35" s="278">
        <f>$G35*'2026 Labor Alloc %'!Q35</f>
        <v>0</v>
      </c>
      <c r="V35" s="278">
        <f>$G35*'2026 Labor Alloc %'!R35</f>
        <v>0</v>
      </c>
      <c r="W35" s="278">
        <f>$G35*'2026 Labor Alloc %'!S35</f>
        <v>0</v>
      </c>
      <c r="X35" s="278">
        <f>$G35*'2026 Labor Alloc %'!T35</f>
        <v>0</v>
      </c>
      <c r="Y35" s="278">
        <f>$G35*'2026 Labor Alloc %'!U35</f>
        <v>0</v>
      </c>
      <c r="Z35" s="278">
        <f>$G35*'2026 Labor Alloc %'!V35</f>
        <v>0</v>
      </c>
      <c r="AA35" s="278">
        <f>$G35*'2026 Labor Alloc %'!W35</f>
        <v>0</v>
      </c>
      <c r="AB35" s="278">
        <f>$G35*'2026 Labor Alloc %'!X35</f>
        <v>0</v>
      </c>
      <c r="AC35" s="278">
        <f>$G35*'2026 Labor Alloc %'!Y35</f>
        <v>0</v>
      </c>
      <c r="AD35" s="278">
        <f>$G35*'2026 Labor Alloc %'!Z35</f>
        <v>0</v>
      </c>
      <c r="AE35" s="278">
        <f>$G35*'2026 Labor Alloc %'!AA35</f>
        <v>0</v>
      </c>
      <c r="AF35" s="278">
        <f>$G35*'2026 Labor Alloc %'!AB35</f>
        <v>0</v>
      </c>
      <c r="AG35" s="278">
        <f>$G35*'2026 Labor Alloc %'!AC35</f>
        <v>0</v>
      </c>
      <c r="AH35" s="278">
        <f>$G35*'2026 Labor Alloc %'!AD35</f>
        <v>0</v>
      </c>
      <c r="AI35" s="278">
        <f>$G35*'2026 Labor Alloc %'!AE35</f>
        <v>0</v>
      </c>
      <c r="AJ35" s="278">
        <f>$G35*'2026 Labor Alloc %'!AF35</f>
        <v>0</v>
      </c>
      <c r="AK35" s="278">
        <f>$G35*'2026 Labor Alloc %'!AG35</f>
        <v>0</v>
      </c>
      <c r="AL35" s="278">
        <f>$G35*'2026 Labor Alloc %'!AH35</f>
        <v>0</v>
      </c>
      <c r="AM35" s="278">
        <f>$G35*'2026 Labor Alloc %'!AI35</f>
        <v>0</v>
      </c>
      <c r="AN35" s="278">
        <f>$G35*'2026 Labor Alloc %'!AJ35</f>
        <v>0</v>
      </c>
      <c r="AO35" s="278">
        <f>$G35*'2026 Labor Alloc %'!AK35</f>
        <v>0</v>
      </c>
      <c r="AP35" s="278">
        <f>$G35*'2026 Labor Alloc %'!AL35</f>
        <v>0</v>
      </c>
      <c r="AQ35" s="278">
        <f>$G35*'2026 Labor Alloc %'!AM35</f>
        <v>0</v>
      </c>
      <c r="AR35" s="278">
        <f>$G35*'2026 Labor Alloc %'!AN35</f>
        <v>0</v>
      </c>
      <c r="AS35" s="278">
        <f>$G35*'2026 Labor Alloc %'!AO35</f>
        <v>0</v>
      </c>
      <c r="AT35" s="278">
        <f>$G35*'2026 Labor Alloc %'!AP35</f>
        <v>0</v>
      </c>
      <c r="AU35" s="278">
        <f>$G35*'2026 Labor Alloc %'!AQ35</f>
        <v>0</v>
      </c>
      <c r="AV35" s="278">
        <f>$G35*'2026 Labor Alloc %'!AR35</f>
        <v>0</v>
      </c>
      <c r="AW35" s="278">
        <f>$G35*'2026 Labor Alloc %'!AS35</f>
        <v>0</v>
      </c>
      <c r="AX35" s="278">
        <f>$G35*'2026 Labor Alloc %'!AT35</f>
        <v>0</v>
      </c>
      <c r="AY35" s="278">
        <f>$G35*'2026 Labor Alloc %'!AU35</f>
        <v>0</v>
      </c>
      <c r="AZ35" s="278">
        <f t="shared" si="1"/>
        <v>59533.5</v>
      </c>
      <c r="BA35" s="278">
        <f t="shared" si="0"/>
        <v>0</v>
      </c>
      <c r="BD35" s="123"/>
    </row>
    <row r="36" spans="1:56" ht="12.75">
      <c r="A36" s="66">
        <v>196</v>
      </c>
      <c r="B36" s="66" t="str">
        <f>'Comp 25-26'!A32</f>
        <v>Herlache, Margaret Anne</v>
      </c>
      <c r="C36" s="66"/>
      <c r="D36" s="66" t="str">
        <f>'Comp 25-26'!C32</f>
        <v>Senior Community Health Coordinator</v>
      </c>
      <c r="E36" s="66"/>
      <c r="F36" s="66"/>
      <c r="G36" s="74">
        <f>'Comp 25-26'!T32</f>
        <v>67743</v>
      </c>
      <c r="H36" s="278">
        <f>$G36*'2026 Labor Alloc %'!D36</f>
        <v>0</v>
      </c>
      <c r="I36" s="278">
        <f>$G36*'2026 Labor Alloc %'!E36</f>
        <v>0</v>
      </c>
      <c r="J36" s="278">
        <f>$G36*'2026 Labor Alloc %'!F36</f>
        <v>0</v>
      </c>
      <c r="K36" s="278">
        <f>$G36*'2026 Labor Alloc %'!G36</f>
        <v>0</v>
      </c>
      <c r="L36" s="278">
        <f>$G36*'2026 Labor Alloc %'!H36</f>
        <v>0</v>
      </c>
      <c r="M36" s="278">
        <f>$G36*'2026 Labor Alloc %'!I36</f>
        <v>0</v>
      </c>
      <c r="N36" s="278">
        <f>$G36*'2026 Labor Alloc %'!J36</f>
        <v>0</v>
      </c>
      <c r="O36" s="278">
        <f>$G36*'2026 Labor Alloc %'!K36</f>
        <v>0</v>
      </c>
      <c r="P36" s="278">
        <f>$G36*'2026 Labor Alloc %'!L36</f>
        <v>0</v>
      </c>
      <c r="Q36" s="278">
        <f>$G36*'2026 Labor Alloc %'!M36</f>
        <v>0</v>
      </c>
      <c r="R36" s="278">
        <f>$G36*'2026 Labor Alloc %'!N36</f>
        <v>0</v>
      </c>
      <c r="S36" s="278">
        <f>$G36*'2026 Labor Alloc %'!O36</f>
        <v>0</v>
      </c>
      <c r="T36" s="278">
        <f>$G36*'2026 Labor Alloc %'!P36</f>
        <v>0</v>
      </c>
      <c r="U36" s="278">
        <f>$G36*'2026 Labor Alloc %'!Q36</f>
        <v>0</v>
      </c>
      <c r="V36" s="278">
        <f>$G36*'2026 Labor Alloc %'!R36</f>
        <v>0</v>
      </c>
      <c r="W36" s="278">
        <f>$G36*'2026 Labor Alloc %'!S36</f>
        <v>0</v>
      </c>
      <c r="X36" s="278">
        <f>$G36*'2026 Labor Alloc %'!T36</f>
        <v>0</v>
      </c>
      <c r="Y36" s="278">
        <f>$G36*'2026 Labor Alloc %'!U36</f>
        <v>0</v>
      </c>
      <c r="Z36" s="278">
        <f>$G36*'2026 Labor Alloc %'!V36</f>
        <v>0</v>
      </c>
      <c r="AA36" s="278">
        <f>$G36*'2026 Labor Alloc %'!W36</f>
        <v>0</v>
      </c>
      <c r="AB36" s="278">
        <f>$G36*'2026 Labor Alloc %'!X36</f>
        <v>0</v>
      </c>
      <c r="AC36" s="278">
        <f>$G36*'2026 Labor Alloc %'!Y36</f>
        <v>0</v>
      </c>
      <c r="AD36" s="278">
        <f>$G36*'2026 Labor Alloc %'!Z36</f>
        <v>0</v>
      </c>
      <c r="AE36" s="278">
        <f>$G36*'2026 Labor Alloc %'!AA36</f>
        <v>0</v>
      </c>
      <c r="AF36" s="278">
        <f>$G36*'2026 Labor Alloc %'!AB36</f>
        <v>0</v>
      </c>
      <c r="AG36" s="278">
        <f>$G36*'2026 Labor Alloc %'!AC36</f>
        <v>0</v>
      </c>
      <c r="AH36" s="278">
        <f>$G36*'2026 Labor Alloc %'!AD36</f>
        <v>0</v>
      </c>
      <c r="AI36" s="278">
        <f>$G36*'2026 Labor Alloc %'!AE36</f>
        <v>0</v>
      </c>
      <c r="AJ36" s="278">
        <f>$G36*'2026 Labor Alloc %'!AF36</f>
        <v>0</v>
      </c>
      <c r="AK36" s="278">
        <f>$G36*'2026 Labor Alloc %'!AG36</f>
        <v>0</v>
      </c>
      <c r="AL36" s="278">
        <f>$G36*'2026 Labor Alloc %'!AH36</f>
        <v>0</v>
      </c>
      <c r="AM36" s="278">
        <f>$G36*'2026 Labor Alloc %'!AI36</f>
        <v>0</v>
      </c>
      <c r="AN36" s="278">
        <f>$G36*'2026 Labor Alloc %'!AJ36</f>
        <v>0</v>
      </c>
      <c r="AO36" s="278">
        <f>$G36*'2026 Labor Alloc %'!AK36</f>
        <v>0</v>
      </c>
      <c r="AP36" s="278">
        <f>$G36*'2026 Labor Alloc %'!AL36</f>
        <v>0</v>
      </c>
      <c r="AQ36" s="278">
        <f>$G36*'2026 Labor Alloc %'!AM36</f>
        <v>0</v>
      </c>
      <c r="AR36" s="278">
        <f>$G36*'2026 Labor Alloc %'!AN36</f>
        <v>0</v>
      </c>
      <c r="AS36" s="278">
        <f>$G36*'2026 Labor Alloc %'!AO36</f>
        <v>0</v>
      </c>
      <c r="AT36" s="278">
        <f>$G36*'2026 Labor Alloc %'!AP36</f>
        <v>0</v>
      </c>
      <c r="AU36" s="278">
        <f>$G36*'2026 Labor Alloc %'!AQ36</f>
        <v>0</v>
      </c>
      <c r="AV36" s="278">
        <f>$G36*'2026 Labor Alloc %'!AR36</f>
        <v>0</v>
      </c>
      <c r="AW36" s="278">
        <f>$G36*'2026 Labor Alloc %'!AS36</f>
        <v>0</v>
      </c>
      <c r="AX36" s="278">
        <f>$G36*'2026 Labor Alloc %'!AT36</f>
        <v>0</v>
      </c>
      <c r="AY36" s="278">
        <f>$G36*'2026 Labor Alloc %'!AU36</f>
        <v>67743</v>
      </c>
      <c r="AZ36" s="278">
        <f t="shared" si="1"/>
        <v>67743</v>
      </c>
      <c r="BA36" s="278">
        <f t="shared" si="0"/>
        <v>0</v>
      </c>
      <c r="BD36" s="123"/>
    </row>
    <row r="37" spans="1:56" ht="12.75">
      <c r="A37" s="66">
        <v>198</v>
      </c>
      <c r="B37" s="66" t="str">
        <f>'Comp 25-26'!A33</f>
        <v>Hernandez, Daphne</v>
      </c>
      <c r="C37" s="66"/>
      <c r="D37" s="66" t="str">
        <f>'Comp 25-26'!C33</f>
        <v>Information &amp; Assistance Specialist</v>
      </c>
      <c r="E37" s="66"/>
      <c r="F37" s="66"/>
      <c r="G37" s="74">
        <f>'Comp 25-26'!T33</f>
        <v>45509.948737500003</v>
      </c>
      <c r="H37" s="278">
        <f>$G37*'2026 Labor Alloc %'!D37</f>
        <v>0</v>
      </c>
      <c r="I37" s="278">
        <f>$G37*'2026 Labor Alloc %'!E37</f>
        <v>26395.770267749998</v>
      </c>
      <c r="J37" s="278">
        <f>$G37*'2026 Labor Alloc %'!F37</f>
        <v>0</v>
      </c>
      <c r="K37" s="278">
        <f>$G37*'2026 Labor Alloc %'!G37</f>
        <v>0</v>
      </c>
      <c r="L37" s="278">
        <f>$G37*'2026 Labor Alloc %'!H37</f>
        <v>0</v>
      </c>
      <c r="M37" s="278">
        <f>$G37*'2026 Labor Alloc %'!I37</f>
        <v>0</v>
      </c>
      <c r="N37" s="278">
        <f>$G37*'2026 Labor Alloc %'!J37</f>
        <v>0</v>
      </c>
      <c r="O37" s="278">
        <f>$G37*'2026 Labor Alloc %'!K37</f>
        <v>0</v>
      </c>
      <c r="P37" s="278">
        <f>$G37*'2026 Labor Alloc %'!L37</f>
        <v>0</v>
      </c>
      <c r="Q37" s="278">
        <f>$G37*'2026 Labor Alloc %'!M37</f>
        <v>0</v>
      </c>
      <c r="R37" s="278">
        <f>$G37*'2026 Labor Alloc %'!N37</f>
        <v>0</v>
      </c>
      <c r="S37" s="278">
        <f>$G37*'2026 Labor Alloc %'!O37</f>
        <v>0</v>
      </c>
      <c r="T37" s="278">
        <f>$G37*'2026 Labor Alloc %'!P37</f>
        <v>0</v>
      </c>
      <c r="U37" s="278">
        <f>$G37*'2026 Labor Alloc %'!Q37</f>
        <v>0</v>
      </c>
      <c r="V37" s="278">
        <f>$G37*'2026 Labor Alloc %'!R37</f>
        <v>0</v>
      </c>
      <c r="W37" s="278">
        <f>$G37*'2026 Labor Alloc %'!S37</f>
        <v>0</v>
      </c>
      <c r="X37" s="278">
        <f>$G37*'2026 Labor Alloc %'!T37</f>
        <v>0</v>
      </c>
      <c r="Y37" s="278">
        <f>$G37*'2026 Labor Alloc %'!U37</f>
        <v>0</v>
      </c>
      <c r="Z37" s="278">
        <f>$G37*'2026 Labor Alloc %'!V37</f>
        <v>0</v>
      </c>
      <c r="AA37" s="278">
        <f>$G37*'2026 Labor Alloc %'!W37</f>
        <v>0</v>
      </c>
      <c r="AB37" s="278">
        <f>$G37*'2026 Labor Alloc %'!X37</f>
        <v>0</v>
      </c>
      <c r="AC37" s="278">
        <f>$G37*'2026 Labor Alloc %'!Y37</f>
        <v>0</v>
      </c>
      <c r="AD37" s="278">
        <f>$G37*'2026 Labor Alloc %'!Z37</f>
        <v>0</v>
      </c>
      <c r="AE37" s="278">
        <f>$G37*'2026 Labor Alloc %'!AA37</f>
        <v>0</v>
      </c>
      <c r="AF37" s="278">
        <f>$G37*'2026 Labor Alloc %'!AB37</f>
        <v>0</v>
      </c>
      <c r="AG37" s="278">
        <f>$G37*'2026 Labor Alloc %'!AC37</f>
        <v>0</v>
      </c>
      <c r="AH37" s="278">
        <f>$G37*'2026 Labor Alloc %'!AD37</f>
        <v>0</v>
      </c>
      <c r="AI37" s="278">
        <f>$G37*'2026 Labor Alloc %'!AE37</f>
        <v>0</v>
      </c>
      <c r="AJ37" s="278">
        <f>$G37*'2026 Labor Alloc %'!AF37</f>
        <v>0</v>
      </c>
      <c r="AK37" s="278">
        <f>$G37*'2026 Labor Alloc %'!AG37</f>
        <v>0</v>
      </c>
      <c r="AL37" s="278">
        <f>$G37*'2026 Labor Alloc %'!AH37</f>
        <v>0</v>
      </c>
      <c r="AM37" s="278">
        <f>$G37*'2026 Labor Alloc %'!AI37</f>
        <v>0</v>
      </c>
      <c r="AN37" s="278">
        <f>$G37*'2026 Labor Alloc %'!AJ37</f>
        <v>0</v>
      </c>
      <c r="AO37" s="278">
        <f>$G37*'2026 Labor Alloc %'!AK37</f>
        <v>0</v>
      </c>
      <c r="AP37" s="278">
        <f>$G37*'2026 Labor Alloc %'!AL37</f>
        <v>0</v>
      </c>
      <c r="AQ37" s="278">
        <f>$G37*'2026 Labor Alloc %'!AM37</f>
        <v>0</v>
      </c>
      <c r="AR37" s="278">
        <f>$G37*'2026 Labor Alloc %'!AN37</f>
        <v>0</v>
      </c>
      <c r="AS37" s="278">
        <f>$G37*'2026 Labor Alloc %'!AO37</f>
        <v>0</v>
      </c>
      <c r="AT37" s="278">
        <f>$G37*'2026 Labor Alloc %'!AP37</f>
        <v>0</v>
      </c>
      <c r="AU37" s="278">
        <f>$G37*'2026 Labor Alloc %'!AQ37</f>
        <v>19114.178469750001</v>
      </c>
      <c r="AV37" s="278">
        <f>$G37*'2026 Labor Alloc %'!AR37</f>
        <v>0</v>
      </c>
      <c r="AW37" s="278">
        <f>$G37*'2026 Labor Alloc %'!AS37</f>
        <v>0</v>
      </c>
      <c r="AX37" s="278">
        <f>$G37*'2026 Labor Alloc %'!AT37</f>
        <v>0</v>
      </c>
      <c r="AY37" s="278">
        <f>$G37*'2026 Labor Alloc %'!AU37</f>
        <v>0</v>
      </c>
      <c r="AZ37" s="278">
        <f t="shared" si="1"/>
        <v>45509.948737500003</v>
      </c>
      <c r="BA37" s="278">
        <f t="shared" si="0"/>
        <v>0</v>
      </c>
      <c r="BD37" s="123"/>
    </row>
    <row r="38" spans="1:56" ht="12.75">
      <c r="A38" s="66">
        <v>201</v>
      </c>
      <c r="B38" s="66" t="str">
        <f>'Comp 25-26'!A34</f>
        <v>Heuerman, Blake</v>
      </c>
      <c r="C38" s="66"/>
      <c r="D38" s="66" t="str">
        <f>'Comp 25-26'!C34</f>
        <v>Information &amp; Assistance Specialist</v>
      </c>
      <c r="E38" s="66"/>
      <c r="F38" s="66"/>
      <c r="G38" s="74">
        <f>'Comp 25-26'!T34</f>
        <v>44032.747199999998</v>
      </c>
      <c r="H38" s="278">
        <f>$G38*'2026 Labor Alloc %'!D38</f>
        <v>0</v>
      </c>
      <c r="I38" s="278">
        <f>$G38*'2026 Labor Alloc %'!E38</f>
        <v>25538.993375999999</v>
      </c>
      <c r="J38" s="278">
        <f>$G38*'2026 Labor Alloc %'!F38</f>
        <v>0</v>
      </c>
      <c r="K38" s="278">
        <f>$G38*'2026 Labor Alloc %'!G38</f>
        <v>0</v>
      </c>
      <c r="L38" s="278">
        <f>$G38*'2026 Labor Alloc %'!H38</f>
        <v>0</v>
      </c>
      <c r="M38" s="278">
        <f>$G38*'2026 Labor Alloc %'!I38</f>
        <v>0</v>
      </c>
      <c r="N38" s="278">
        <f>$G38*'2026 Labor Alloc %'!J38</f>
        <v>0</v>
      </c>
      <c r="O38" s="278">
        <f>$G38*'2026 Labor Alloc %'!K38</f>
        <v>0</v>
      </c>
      <c r="P38" s="278">
        <f>$G38*'2026 Labor Alloc %'!L38</f>
        <v>0</v>
      </c>
      <c r="Q38" s="278">
        <f>$G38*'2026 Labor Alloc %'!M38</f>
        <v>0</v>
      </c>
      <c r="R38" s="278">
        <f>$G38*'2026 Labor Alloc %'!N38</f>
        <v>0</v>
      </c>
      <c r="S38" s="278">
        <f>$G38*'2026 Labor Alloc %'!O38</f>
        <v>0</v>
      </c>
      <c r="T38" s="278">
        <f>$G38*'2026 Labor Alloc %'!P38</f>
        <v>0</v>
      </c>
      <c r="U38" s="278">
        <f>$G38*'2026 Labor Alloc %'!Q38</f>
        <v>0</v>
      </c>
      <c r="V38" s="278">
        <f>$G38*'2026 Labor Alloc %'!R38</f>
        <v>0</v>
      </c>
      <c r="W38" s="278">
        <f>$G38*'2026 Labor Alloc %'!S38</f>
        <v>0</v>
      </c>
      <c r="X38" s="278">
        <f>$G38*'2026 Labor Alloc %'!T38</f>
        <v>0</v>
      </c>
      <c r="Y38" s="278">
        <f>$G38*'2026 Labor Alloc %'!U38</f>
        <v>0</v>
      </c>
      <c r="Z38" s="278">
        <f>$G38*'2026 Labor Alloc %'!V38</f>
        <v>0</v>
      </c>
      <c r="AA38" s="278">
        <f>$G38*'2026 Labor Alloc %'!W38</f>
        <v>0</v>
      </c>
      <c r="AB38" s="278">
        <f>$G38*'2026 Labor Alloc %'!X38</f>
        <v>0</v>
      </c>
      <c r="AC38" s="278">
        <f>$G38*'2026 Labor Alloc %'!Y38</f>
        <v>0</v>
      </c>
      <c r="AD38" s="278">
        <f>$G38*'2026 Labor Alloc %'!Z38</f>
        <v>0</v>
      </c>
      <c r="AE38" s="278">
        <f>$G38*'2026 Labor Alloc %'!AA38</f>
        <v>0</v>
      </c>
      <c r="AF38" s="278">
        <f>$G38*'2026 Labor Alloc %'!AB38</f>
        <v>0</v>
      </c>
      <c r="AG38" s="278">
        <f>$G38*'2026 Labor Alloc %'!AC38</f>
        <v>0</v>
      </c>
      <c r="AH38" s="278">
        <f>$G38*'2026 Labor Alloc %'!AD38</f>
        <v>0</v>
      </c>
      <c r="AI38" s="278">
        <f>$G38*'2026 Labor Alloc %'!AE38</f>
        <v>0</v>
      </c>
      <c r="AJ38" s="278">
        <f>$G38*'2026 Labor Alloc %'!AF38</f>
        <v>0</v>
      </c>
      <c r="AK38" s="278">
        <f>$G38*'2026 Labor Alloc %'!AG38</f>
        <v>0</v>
      </c>
      <c r="AL38" s="278">
        <f>$G38*'2026 Labor Alloc %'!AH38</f>
        <v>0</v>
      </c>
      <c r="AM38" s="278">
        <f>$G38*'2026 Labor Alloc %'!AI38</f>
        <v>0</v>
      </c>
      <c r="AN38" s="278">
        <f>$G38*'2026 Labor Alloc %'!AJ38</f>
        <v>0</v>
      </c>
      <c r="AO38" s="278">
        <f>$G38*'2026 Labor Alloc %'!AK38</f>
        <v>0</v>
      </c>
      <c r="AP38" s="278">
        <f>$G38*'2026 Labor Alloc %'!AL38</f>
        <v>0</v>
      </c>
      <c r="AQ38" s="278">
        <f>$G38*'2026 Labor Alloc %'!AM38</f>
        <v>0</v>
      </c>
      <c r="AR38" s="278">
        <f>$G38*'2026 Labor Alloc %'!AN38</f>
        <v>0</v>
      </c>
      <c r="AS38" s="278">
        <f>$G38*'2026 Labor Alloc %'!AO38</f>
        <v>0</v>
      </c>
      <c r="AT38" s="278">
        <f>$G38*'2026 Labor Alloc %'!AP38</f>
        <v>0</v>
      </c>
      <c r="AU38" s="278">
        <f>$G38*'2026 Labor Alloc %'!AQ38</f>
        <v>18493.753823999999</v>
      </c>
      <c r="AV38" s="278">
        <f>$G38*'2026 Labor Alloc %'!AR38</f>
        <v>0</v>
      </c>
      <c r="AW38" s="278">
        <f>$G38*'2026 Labor Alloc %'!AS38</f>
        <v>0</v>
      </c>
      <c r="AX38" s="278">
        <f>$G38*'2026 Labor Alloc %'!AT38</f>
        <v>0</v>
      </c>
      <c r="AY38" s="278">
        <f>$G38*'2026 Labor Alloc %'!AU38</f>
        <v>0</v>
      </c>
      <c r="AZ38" s="278">
        <f t="shared" si="1"/>
        <v>44032.747199999998</v>
      </c>
      <c r="BA38" s="278">
        <f t="shared" ref="BA38:BA69" si="2">G38-AZ38</f>
        <v>0</v>
      </c>
      <c r="BD38" s="123"/>
    </row>
    <row r="39" spans="1:56" ht="12.75">
      <c r="A39" s="66">
        <v>371</v>
      </c>
      <c r="B39" s="66" t="str">
        <f>'Comp 25-26'!A35</f>
        <v>Jusovich, Elvira</v>
      </c>
      <c r="C39" s="66"/>
      <c r="D39" s="66" t="str">
        <f>'Comp 25-26'!C35</f>
        <v>Information &amp; Assistance Specialist</v>
      </c>
      <c r="E39" s="66"/>
      <c r="F39" s="66"/>
      <c r="G39" s="74">
        <f>'Comp 25-26'!T35</f>
        <v>42750.239999999998</v>
      </c>
      <c r="H39" s="278">
        <f>$G39*'2026 Labor Alloc %'!D39</f>
        <v>0</v>
      </c>
      <c r="I39" s="278">
        <f>$G39*'2026 Labor Alloc %'!E39</f>
        <v>24795.139199999998</v>
      </c>
      <c r="J39" s="278">
        <f>$G39*'2026 Labor Alloc %'!F39</f>
        <v>0</v>
      </c>
      <c r="K39" s="278">
        <f>$G39*'2026 Labor Alloc %'!G39</f>
        <v>0</v>
      </c>
      <c r="L39" s="278">
        <f>$G39*'2026 Labor Alloc %'!H39</f>
        <v>0</v>
      </c>
      <c r="M39" s="278">
        <f>$G39*'2026 Labor Alloc %'!I39</f>
        <v>0</v>
      </c>
      <c r="N39" s="278">
        <f>$G39*'2026 Labor Alloc %'!J39</f>
        <v>0</v>
      </c>
      <c r="O39" s="278">
        <f>$G39*'2026 Labor Alloc %'!K39</f>
        <v>0</v>
      </c>
      <c r="P39" s="278">
        <f>$G39*'2026 Labor Alloc %'!L39</f>
        <v>0</v>
      </c>
      <c r="Q39" s="278">
        <f>$G39*'2026 Labor Alloc %'!M39</f>
        <v>0</v>
      </c>
      <c r="R39" s="278">
        <f>$G39*'2026 Labor Alloc %'!N39</f>
        <v>0</v>
      </c>
      <c r="S39" s="278">
        <f>$G39*'2026 Labor Alloc %'!O39</f>
        <v>0</v>
      </c>
      <c r="T39" s="278">
        <f>$G39*'2026 Labor Alloc %'!P39</f>
        <v>0</v>
      </c>
      <c r="U39" s="278">
        <f>$G39*'2026 Labor Alloc %'!Q39</f>
        <v>0</v>
      </c>
      <c r="V39" s="278">
        <f>$G39*'2026 Labor Alloc %'!R39</f>
        <v>0</v>
      </c>
      <c r="W39" s="278">
        <f>$G39*'2026 Labor Alloc %'!S39</f>
        <v>0</v>
      </c>
      <c r="X39" s="278">
        <f>$G39*'2026 Labor Alloc %'!T39</f>
        <v>0</v>
      </c>
      <c r="Y39" s="278">
        <f>$G39*'2026 Labor Alloc %'!U39</f>
        <v>0</v>
      </c>
      <c r="Z39" s="278">
        <f>$G39*'2026 Labor Alloc %'!V39</f>
        <v>0</v>
      </c>
      <c r="AA39" s="278">
        <f>$G39*'2026 Labor Alloc %'!W39</f>
        <v>0</v>
      </c>
      <c r="AB39" s="278">
        <f>$G39*'2026 Labor Alloc %'!X39</f>
        <v>0</v>
      </c>
      <c r="AC39" s="278">
        <f>$G39*'2026 Labor Alloc %'!Y39</f>
        <v>0</v>
      </c>
      <c r="AD39" s="278">
        <f>$G39*'2026 Labor Alloc %'!Z39</f>
        <v>0</v>
      </c>
      <c r="AE39" s="278">
        <f>$G39*'2026 Labor Alloc %'!AA39</f>
        <v>0</v>
      </c>
      <c r="AF39" s="278">
        <f>$G39*'2026 Labor Alloc %'!AB39</f>
        <v>0</v>
      </c>
      <c r="AG39" s="278">
        <f>$G39*'2026 Labor Alloc %'!AC39</f>
        <v>0</v>
      </c>
      <c r="AH39" s="278">
        <f>$G39*'2026 Labor Alloc %'!AD39</f>
        <v>0</v>
      </c>
      <c r="AI39" s="278">
        <f>$G39*'2026 Labor Alloc %'!AE39</f>
        <v>0</v>
      </c>
      <c r="AJ39" s="278">
        <f>$G39*'2026 Labor Alloc %'!AF39</f>
        <v>0</v>
      </c>
      <c r="AK39" s="278">
        <f>$G39*'2026 Labor Alloc %'!AG39</f>
        <v>0</v>
      </c>
      <c r="AL39" s="278">
        <f>$G39*'2026 Labor Alloc %'!AH39</f>
        <v>0</v>
      </c>
      <c r="AM39" s="278">
        <f>$G39*'2026 Labor Alloc %'!AI39</f>
        <v>0</v>
      </c>
      <c r="AN39" s="278">
        <f>$G39*'2026 Labor Alloc %'!AJ39</f>
        <v>0</v>
      </c>
      <c r="AO39" s="278">
        <f>$G39*'2026 Labor Alloc %'!AK39</f>
        <v>0</v>
      </c>
      <c r="AP39" s="278">
        <f>$G39*'2026 Labor Alloc %'!AL39</f>
        <v>0</v>
      </c>
      <c r="AQ39" s="278">
        <f>$G39*'2026 Labor Alloc %'!AM39</f>
        <v>0</v>
      </c>
      <c r="AR39" s="278">
        <f>$G39*'2026 Labor Alloc %'!AN39</f>
        <v>0</v>
      </c>
      <c r="AS39" s="278">
        <f>$G39*'2026 Labor Alloc %'!AO39</f>
        <v>0</v>
      </c>
      <c r="AT39" s="278">
        <f>$G39*'2026 Labor Alloc %'!AP39</f>
        <v>0</v>
      </c>
      <c r="AU39" s="278">
        <f>$G39*'2026 Labor Alloc %'!AQ39</f>
        <v>17955.1008</v>
      </c>
      <c r="AV39" s="278">
        <f>$G39*'2026 Labor Alloc %'!AR39</f>
        <v>0</v>
      </c>
      <c r="AW39" s="278">
        <f>$G39*'2026 Labor Alloc %'!AS39</f>
        <v>0</v>
      </c>
      <c r="AX39" s="278">
        <f>$G39*'2026 Labor Alloc %'!AT39</f>
        <v>0</v>
      </c>
      <c r="AY39" s="278">
        <f>$G39*'2026 Labor Alloc %'!AU39</f>
        <v>0</v>
      </c>
      <c r="AZ39" s="278">
        <f t="shared" si="1"/>
        <v>42750.239999999998</v>
      </c>
      <c r="BA39" s="278">
        <f t="shared" si="2"/>
        <v>0</v>
      </c>
      <c r="BD39" s="123"/>
    </row>
    <row r="40" spans="1:56" ht="12.75">
      <c r="A40" s="66">
        <v>205</v>
      </c>
      <c r="B40" s="66" t="str">
        <f>'Comp 25-26'!A36</f>
        <v>Holder-Hurley, Laura Kay</v>
      </c>
      <c r="C40" s="66"/>
      <c r="D40" s="66" t="str">
        <f>'Comp 25-26'!C36</f>
        <v>AP Payroll Specialist</v>
      </c>
      <c r="E40" s="66"/>
      <c r="F40" s="66"/>
      <c r="G40" s="74">
        <f>'Comp 25-26'!T36</f>
        <v>63904.143225</v>
      </c>
      <c r="H40" s="278">
        <f>$G40*'2026 Labor Alloc %'!D40</f>
        <v>38342.485934999997</v>
      </c>
      <c r="I40" s="278">
        <f>$G40*'2026 Labor Alloc %'!E40</f>
        <v>0</v>
      </c>
      <c r="J40" s="278">
        <f>$G40*'2026 Labor Alloc %'!F40</f>
        <v>0</v>
      </c>
      <c r="K40" s="278">
        <f>$G40*'2026 Labor Alloc %'!G40</f>
        <v>9585.6214837499992</v>
      </c>
      <c r="L40" s="278">
        <f>$G40*'2026 Labor Alloc %'!H40</f>
        <v>0</v>
      </c>
      <c r="M40" s="278">
        <f>$G40*'2026 Labor Alloc %'!I40</f>
        <v>0</v>
      </c>
      <c r="N40" s="278">
        <f>$G40*'2026 Labor Alloc %'!J40</f>
        <v>0</v>
      </c>
      <c r="O40" s="278">
        <f>$G40*'2026 Labor Alloc %'!K40</f>
        <v>9585.6214837499992</v>
      </c>
      <c r="P40" s="278">
        <f>$G40*'2026 Labor Alloc %'!L40</f>
        <v>0</v>
      </c>
      <c r="Q40" s="278">
        <f>$G40*'2026 Labor Alloc %'!M40</f>
        <v>0</v>
      </c>
      <c r="R40" s="278">
        <f>$G40*'2026 Labor Alloc %'!N40</f>
        <v>0</v>
      </c>
      <c r="S40" s="278">
        <f>$G40*'2026 Labor Alloc %'!O40</f>
        <v>0</v>
      </c>
      <c r="T40" s="278">
        <f>$G40*'2026 Labor Alloc %'!P40</f>
        <v>0</v>
      </c>
      <c r="U40" s="278">
        <f>$G40*'2026 Labor Alloc %'!Q40</f>
        <v>0</v>
      </c>
      <c r="V40" s="278">
        <f>$G40*'2026 Labor Alloc %'!R40</f>
        <v>0</v>
      </c>
      <c r="W40" s="278">
        <f>$G40*'2026 Labor Alloc %'!S40</f>
        <v>0</v>
      </c>
      <c r="X40" s="278">
        <f>$G40*'2026 Labor Alloc %'!T40</f>
        <v>0</v>
      </c>
      <c r="Y40" s="278">
        <f>$G40*'2026 Labor Alloc %'!U40</f>
        <v>0</v>
      </c>
      <c r="Z40" s="278">
        <f>$G40*'2026 Labor Alloc %'!V40</f>
        <v>0</v>
      </c>
      <c r="AA40" s="278">
        <f>$G40*'2026 Labor Alloc %'!W40</f>
        <v>0</v>
      </c>
      <c r="AB40" s="278">
        <f>$G40*'2026 Labor Alloc %'!X40</f>
        <v>0</v>
      </c>
      <c r="AC40" s="278">
        <f>$G40*'2026 Labor Alloc %'!Y40</f>
        <v>0</v>
      </c>
      <c r="AD40" s="278">
        <f>$G40*'2026 Labor Alloc %'!Z40</f>
        <v>0</v>
      </c>
      <c r="AE40" s="278">
        <f>$G40*'2026 Labor Alloc %'!AA40</f>
        <v>0</v>
      </c>
      <c r="AF40" s="278">
        <f>$G40*'2026 Labor Alloc %'!AB40</f>
        <v>0</v>
      </c>
      <c r="AG40" s="278">
        <f>$G40*'2026 Labor Alloc %'!AC40</f>
        <v>0</v>
      </c>
      <c r="AH40" s="278">
        <f>$G40*'2026 Labor Alloc %'!AD40</f>
        <v>3834.2485935</v>
      </c>
      <c r="AI40" s="278">
        <f>$G40*'2026 Labor Alloc %'!AE40</f>
        <v>2556.1657289999998</v>
      </c>
      <c r="AJ40" s="278">
        <f>$G40*'2026 Labor Alloc %'!AF40</f>
        <v>0</v>
      </c>
      <c r="AK40" s="278">
        <f>$G40*'2026 Labor Alloc %'!AG40</f>
        <v>0</v>
      </c>
      <c r="AL40" s="278">
        <f>$G40*'2026 Labor Alloc %'!AH40</f>
        <v>0</v>
      </c>
      <c r="AM40" s="278">
        <f>$G40*'2026 Labor Alloc %'!AI40</f>
        <v>0</v>
      </c>
      <c r="AN40" s="278">
        <f>$G40*'2026 Labor Alloc %'!AJ40</f>
        <v>0</v>
      </c>
      <c r="AO40" s="278">
        <f>$G40*'2026 Labor Alloc %'!AK40</f>
        <v>0</v>
      </c>
      <c r="AP40" s="278">
        <f>$G40*'2026 Labor Alloc %'!AL40</f>
        <v>0</v>
      </c>
      <c r="AQ40" s="278">
        <f>$G40*'2026 Labor Alloc %'!AM40</f>
        <v>0</v>
      </c>
      <c r="AR40" s="278">
        <f>$G40*'2026 Labor Alloc %'!AN40</f>
        <v>0</v>
      </c>
      <c r="AS40" s="278">
        <f>$G40*'2026 Labor Alloc %'!AO40</f>
        <v>0</v>
      </c>
      <c r="AT40" s="278">
        <f>$G40*'2026 Labor Alloc %'!AP40</f>
        <v>0</v>
      </c>
      <c r="AU40" s="278">
        <f>$G40*'2026 Labor Alloc %'!AQ40</f>
        <v>0</v>
      </c>
      <c r="AV40" s="278">
        <f>$G40*'2026 Labor Alloc %'!AR40</f>
        <v>0</v>
      </c>
      <c r="AW40" s="278">
        <f>$G40*'2026 Labor Alloc %'!AS40</f>
        <v>0</v>
      </c>
      <c r="AX40" s="278">
        <f>$G40*'2026 Labor Alloc %'!AT40</f>
        <v>0</v>
      </c>
      <c r="AY40" s="278">
        <f>$G40*'2026 Labor Alloc %'!AU40</f>
        <v>0</v>
      </c>
      <c r="AZ40" s="278">
        <f t="shared" si="1"/>
        <v>63904.143225</v>
      </c>
      <c r="BA40" s="278">
        <f t="shared" si="2"/>
        <v>0</v>
      </c>
      <c r="BD40" s="123"/>
    </row>
    <row r="41" spans="1:56" ht="12.75">
      <c r="A41" s="66">
        <v>207</v>
      </c>
      <c r="B41" s="66" t="str">
        <f>'Comp 25-26'!A37</f>
        <v>Palacio, Adriana</v>
      </c>
      <c r="C41" s="66"/>
      <c r="D41" s="66" t="str">
        <f>'Comp 25-26'!C37</f>
        <v>Intake Specialist</v>
      </c>
      <c r="E41" s="66"/>
      <c r="F41" s="66"/>
      <c r="G41" s="74">
        <f>'Comp 25-26'!T37</f>
        <v>44518.402499999997</v>
      </c>
      <c r="H41" s="278">
        <f>$G41*'2026 Labor Alloc %'!D41</f>
        <v>0</v>
      </c>
      <c r="I41" s="278">
        <f>$G41*'2026 Labor Alloc %'!E41</f>
        <v>0</v>
      </c>
      <c r="J41" s="278">
        <f>$G41*'2026 Labor Alloc %'!F41</f>
        <v>0</v>
      </c>
      <c r="K41" s="278">
        <f>$G41*'2026 Labor Alloc %'!G41</f>
        <v>0</v>
      </c>
      <c r="L41" s="278">
        <f>$G41*'2026 Labor Alloc %'!H41</f>
        <v>0</v>
      </c>
      <c r="M41" s="278">
        <f>$G41*'2026 Labor Alloc %'!I41</f>
        <v>0</v>
      </c>
      <c r="N41" s="278">
        <f>$G41*'2026 Labor Alloc %'!J41</f>
        <v>0</v>
      </c>
      <c r="O41" s="278">
        <f>$G41*'2026 Labor Alloc %'!K41</f>
        <v>33833.9859</v>
      </c>
      <c r="P41" s="278">
        <f>$G41*'2026 Labor Alloc %'!L41</f>
        <v>10684.416599999999</v>
      </c>
      <c r="Q41" s="278">
        <f>$G41*'2026 Labor Alloc %'!M41</f>
        <v>0</v>
      </c>
      <c r="R41" s="278">
        <f>$G41*'2026 Labor Alloc %'!N41</f>
        <v>0</v>
      </c>
      <c r="S41" s="278">
        <f>$G41*'2026 Labor Alloc %'!O41</f>
        <v>0</v>
      </c>
      <c r="T41" s="278">
        <f>$G41*'2026 Labor Alloc %'!P41</f>
        <v>0</v>
      </c>
      <c r="U41" s="278">
        <f>$G41*'2026 Labor Alloc %'!Q41</f>
        <v>0</v>
      </c>
      <c r="V41" s="278">
        <f>$G41*'2026 Labor Alloc %'!R41</f>
        <v>0</v>
      </c>
      <c r="W41" s="278">
        <f>$G41*'2026 Labor Alloc %'!S41</f>
        <v>0</v>
      </c>
      <c r="X41" s="278">
        <f>$G41*'2026 Labor Alloc %'!T41</f>
        <v>0</v>
      </c>
      <c r="Y41" s="278">
        <f>$G41*'2026 Labor Alloc %'!U41</f>
        <v>0</v>
      </c>
      <c r="Z41" s="278">
        <f>$G41*'2026 Labor Alloc %'!V41</f>
        <v>0</v>
      </c>
      <c r="AA41" s="278">
        <f>$G41*'2026 Labor Alloc %'!W41</f>
        <v>0</v>
      </c>
      <c r="AB41" s="278">
        <f>$G41*'2026 Labor Alloc %'!X41</f>
        <v>0</v>
      </c>
      <c r="AC41" s="278">
        <f>$G41*'2026 Labor Alloc %'!Y41</f>
        <v>0</v>
      </c>
      <c r="AD41" s="278">
        <f>$G41*'2026 Labor Alloc %'!Z41</f>
        <v>0</v>
      </c>
      <c r="AE41" s="278">
        <f>$G41*'2026 Labor Alloc %'!AA41</f>
        <v>0</v>
      </c>
      <c r="AF41" s="278">
        <f>$G41*'2026 Labor Alloc %'!AB41</f>
        <v>0</v>
      </c>
      <c r="AG41" s="278">
        <f>$G41*'2026 Labor Alloc %'!AC41</f>
        <v>0</v>
      </c>
      <c r="AH41" s="278">
        <f>$G41*'2026 Labor Alloc %'!AD41</f>
        <v>0</v>
      </c>
      <c r="AI41" s="278">
        <f>$G41*'2026 Labor Alloc %'!AE41</f>
        <v>0</v>
      </c>
      <c r="AJ41" s="278">
        <f>$G41*'2026 Labor Alloc %'!AF41</f>
        <v>0</v>
      </c>
      <c r="AK41" s="278">
        <f>$G41*'2026 Labor Alloc %'!AG41</f>
        <v>0</v>
      </c>
      <c r="AL41" s="278">
        <f>$G41*'2026 Labor Alloc %'!AH41</f>
        <v>0</v>
      </c>
      <c r="AM41" s="278">
        <f>$G41*'2026 Labor Alloc %'!AI41</f>
        <v>0</v>
      </c>
      <c r="AN41" s="278">
        <f>$G41*'2026 Labor Alloc %'!AJ41</f>
        <v>0</v>
      </c>
      <c r="AO41" s="278">
        <f>$G41*'2026 Labor Alloc %'!AK41</f>
        <v>0</v>
      </c>
      <c r="AP41" s="278">
        <f>$G41*'2026 Labor Alloc %'!AL41</f>
        <v>0</v>
      </c>
      <c r="AQ41" s="278">
        <f>$G41*'2026 Labor Alloc %'!AM41</f>
        <v>0</v>
      </c>
      <c r="AR41" s="278">
        <f>$G41*'2026 Labor Alloc %'!AN41</f>
        <v>0</v>
      </c>
      <c r="AS41" s="278">
        <f>$G41*'2026 Labor Alloc %'!AO41</f>
        <v>0</v>
      </c>
      <c r="AT41" s="278">
        <f>$G41*'2026 Labor Alloc %'!AP41</f>
        <v>0</v>
      </c>
      <c r="AU41" s="278">
        <f>$G41*'2026 Labor Alloc %'!AQ41</f>
        <v>0</v>
      </c>
      <c r="AV41" s="278">
        <f>$G41*'2026 Labor Alloc %'!AR41</f>
        <v>0</v>
      </c>
      <c r="AW41" s="278">
        <f>$G41*'2026 Labor Alloc %'!AS41</f>
        <v>0</v>
      </c>
      <c r="AX41" s="278">
        <f>$G41*'2026 Labor Alloc %'!AT41</f>
        <v>0</v>
      </c>
      <c r="AY41" s="278">
        <f>$G41*'2026 Labor Alloc %'!AU41</f>
        <v>0</v>
      </c>
      <c r="AZ41" s="278">
        <f t="shared" si="1"/>
        <v>44518.402499999997</v>
      </c>
      <c r="BA41" s="278">
        <f t="shared" si="2"/>
        <v>0</v>
      </c>
      <c r="BD41" s="123"/>
    </row>
    <row r="42" spans="1:56" ht="12.75">
      <c r="A42" s="66">
        <v>358</v>
      </c>
      <c r="B42" s="66" t="str">
        <f>'Comp 25-26'!A38</f>
        <v>Jalazo, Kristina</v>
      </c>
      <c r="C42" s="66"/>
      <c r="D42" s="66" t="str">
        <f>'Comp 25-26'!C38</f>
        <v xml:space="preserve">Chief Financial Officer </v>
      </c>
      <c r="E42" s="66"/>
      <c r="F42" s="66"/>
      <c r="G42" s="74">
        <f>'Comp 25-26'!T38</f>
        <v>128253.47047499999</v>
      </c>
      <c r="H42" s="278">
        <f>$G42*'2026 Labor Alloc %'!D42</f>
        <v>5130.1388189999998</v>
      </c>
      <c r="I42" s="278">
        <f>$G42*'2026 Labor Alloc %'!E42</f>
        <v>0</v>
      </c>
      <c r="J42" s="278">
        <f>$G42*'2026 Labor Alloc %'!F42</f>
        <v>0</v>
      </c>
      <c r="K42" s="278">
        <f>$G42*'2026 Labor Alloc %'!G42</f>
        <v>0</v>
      </c>
      <c r="L42" s="278">
        <f>$G42*'2026 Labor Alloc %'!H42</f>
        <v>0</v>
      </c>
      <c r="M42" s="278">
        <f>$G42*'2026 Labor Alloc %'!I42</f>
        <v>19238.020571249999</v>
      </c>
      <c r="N42" s="278">
        <f>$G42*'2026 Labor Alloc %'!J42</f>
        <v>0</v>
      </c>
      <c r="O42" s="278">
        <f>$G42*'2026 Labor Alloc %'!K42</f>
        <v>6412.6735237499997</v>
      </c>
      <c r="P42" s="278">
        <f>$G42*'2026 Labor Alloc %'!L42</f>
        <v>0</v>
      </c>
      <c r="Q42" s="278">
        <f>$G42*'2026 Labor Alloc %'!M42</f>
        <v>0</v>
      </c>
      <c r="R42" s="278">
        <f>$G42*'2026 Labor Alloc %'!N42</f>
        <v>25650.694094999999</v>
      </c>
      <c r="S42" s="278">
        <f>$G42*'2026 Labor Alloc %'!O42</f>
        <v>15390.416456999999</v>
      </c>
      <c r="T42" s="278">
        <f>$G42*'2026 Labor Alloc %'!P42</f>
        <v>6412.6735237499997</v>
      </c>
      <c r="U42" s="278">
        <f>$G42*'2026 Labor Alloc %'!Q42</f>
        <v>0</v>
      </c>
      <c r="V42" s="278">
        <f>$G42*'2026 Labor Alloc %'!R42</f>
        <v>0</v>
      </c>
      <c r="W42" s="278">
        <f>$G42*'2026 Labor Alloc %'!S42</f>
        <v>0</v>
      </c>
      <c r="X42" s="278">
        <f>$G42*'2026 Labor Alloc %'!T42</f>
        <v>0</v>
      </c>
      <c r="Y42" s="278">
        <f>$G42*'2026 Labor Alloc %'!U42</f>
        <v>0</v>
      </c>
      <c r="Z42" s="278">
        <f>$G42*'2026 Labor Alloc %'!V42</f>
        <v>0</v>
      </c>
      <c r="AA42" s="278">
        <f>$G42*'2026 Labor Alloc %'!W42</f>
        <v>3847.6041142499998</v>
      </c>
      <c r="AB42" s="278">
        <f>$G42*'2026 Labor Alloc %'!X42</f>
        <v>0</v>
      </c>
      <c r="AC42" s="278">
        <f>$G42*'2026 Labor Alloc %'!Y42</f>
        <v>0</v>
      </c>
      <c r="AD42" s="278">
        <f>$G42*'2026 Labor Alloc %'!Z42</f>
        <v>0</v>
      </c>
      <c r="AE42" s="278">
        <f>$G42*'2026 Labor Alloc %'!AA42</f>
        <v>0</v>
      </c>
      <c r="AF42" s="278">
        <f>$G42*'2026 Labor Alloc %'!AB42</f>
        <v>0</v>
      </c>
      <c r="AG42" s="278">
        <f>$G42*'2026 Labor Alloc %'!AC42</f>
        <v>0</v>
      </c>
      <c r="AH42" s="278">
        <f>$G42*'2026 Labor Alloc %'!AD42</f>
        <v>23085.624685499999</v>
      </c>
      <c r="AI42" s="278">
        <f>$G42*'2026 Labor Alloc %'!AE42</f>
        <v>23085.624685499999</v>
      </c>
      <c r="AJ42" s="278">
        <f>$G42*'2026 Labor Alloc %'!AF42</f>
        <v>0</v>
      </c>
      <c r="AK42" s="278">
        <f>$G42*'2026 Labor Alloc %'!AG42</f>
        <v>0</v>
      </c>
      <c r="AL42" s="278">
        <f>$G42*'2026 Labor Alloc %'!AH42</f>
        <v>0</v>
      </c>
      <c r="AM42" s="278">
        <f>$G42*'2026 Labor Alloc %'!AI42</f>
        <v>0</v>
      </c>
      <c r="AN42" s="278">
        <f>$G42*'2026 Labor Alloc %'!AJ42</f>
        <v>0</v>
      </c>
      <c r="AO42" s="278">
        <f>$G42*'2026 Labor Alloc %'!AK42</f>
        <v>0</v>
      </c>
      <c r="AP42" s="278">
        <f>$G42*'2026 Labor Alloc %'!AL42</f>
        <v>0</v>
      </c>
      <c r="AQ42" s="278">
        <f>$G42*'2026 Labor Alloc %'!AM42</f>
        <v>0</v>
      </c>
      <c r="AR42" s="278">
        <f>$G42*'2026 Labor Alloc %'!AN42</f>
        <v>0</v>
      </c>
      <c r="AS42" s="278">
        <f>$G42*'2026 Labor Alloc %'!AO42</f>
        <v>0</v>
      </c>
      <c r="AT42" s="278">
        <f>$G42*'2026 Labor Alloc %'!AP42</f>
        <v>0</v>
      </c>
      <c r="AU42" s="278">
        <f>$G42*'2026 Labor Alloc %'!AQ42</f>
        <v>0</v>
      </c>
      <c r="AV42" s="278">
        <f>$G42*'2026 Labor Alloc %'!AR42</f>
        <v>0</v>
      </c>
      <c r="AW42" s="278">
        <f>$G42*'2026 Labor Alloc %'!AS42</f>
        <v>0</v>
      </c>
      <c r="AX42" s="278">
        <f>$G42*'2026 Labor Alloc %'!AT42</f>
        <v>0</v>
      </c>
      <c r="AY42" s="278">
        <f>$G42*'2026 Labor Alloc %'!AU42</f>
        <v>0</v>
      </c>
      <c r="AZ42" s="278">
        <f t="shared" si="1"/>
        <v>128253.47047499998</v>
      </c>
      <c r="BA42" s="278">
        <f t="shared" si="2"/>
        <v>0</v>
      </c>
      <c r="BD42" s="123"/>
    </row>
    <row r="43" spans="1:56" ht="12.75">
      <c r="A43" s="66">
        <v>188</v>
      </c>
      <c r="B43" s="66" t="str">
        <f>'Comp 25-26'!A39</f>
        <v>Johns, Virginia</v>
      </c>
      <c r="C43" s="66"/>
      <c r="D43" s="66" t="str">
        <f>'Comp 25-26'!C39</f>
        <v>VA Case Manager</v>
      </c>
      <c r="E43" s="66"/>
      <c r="F43" s="66"/>
      <c r="G43" s="74">
        <f>'Comp 25-26'!T39</f>
        <v>48788.122012499996</v>
      </c>
      <c r="H43" s="278">
        <f>$G43*'2026 Labor Alloc %'!D43</f>
        <v>0</v>
      </c>
      <c r="I43" s="278">
        <f>$G43*'2026 Labor Alloc %'!E43</f>
        <v>0</v>
      </c>
      <c r="J43" s="278">
        <f>$G43*'2026 Labor Alloc %'!F43</f>
        <v>0</v>
      </c>
      <c r="K43" s="278">
        <f>$G43*'2026 Labor Alloc %'!G43</f>
        <v>0</v>
      </c>
      <c r="L43" s="278">
        <f>$G43*'2026 Labor Alloc %'!H43</f>
        <v>0</v>
      </c>
      <c r="M43" s="278">
        <f>$G43*'2026 Labor Alloc %'!I43</f>
        <v>0</v>
      </c>
      <c r="N43" s="278">
        <f>$G43*'2026 Labor Alloc %'!J43</f>
        <v>0</v>
      </c>
      <c r="O43" s="278">
        <f>$G43*'2026 Labor Alloc %'!K43</f>
        <v>0</v>
      </c>
      <c r="P43" s="278">
        <f>$G43*'2026 Labor Alloc %'!L43</f>
        <v>0</v>
      </c>
      <c r="Q43" s="278">
        <f>$G43*'2026 Labor Alloc %'!M43</f>
        <v>0</v>
      </c>
      <c r="R43" s="278">
        <f>$G43*'2026 Labor Alloc %'!N43</f>
        <v>0</v>
      </c>
      <c r="S43" s="278">
        <f>$G43*'2026 Labor Alloc %'!O43</f>
        <v>0</v>
      </c>
      <c r="T43" s="278">
        <f>$G43*'2026 Labor Alloc %'!P43</f>
        <v>0</v>
      </c>
      <c r="U43" s="278">
        <f>$G43*'2026 Labor Alloc %'!Q43</f>
        <v>0</v>
      </c>
      <c r="V43" s="278">
        <f>$G43*'2026 Labor Alloc %'!R43</f>
        <v>0</v>
      </c>
      <c r="W43" s="278">
        <f>$G43*'2026 Labor Alloc %'!S43</f>
        <v>0</v>
      </c>
      <c r="X43" s="278">
        <f>$G43*'2026 Labor Alloc %'!T43</f>
        <v>0</v>
      </c>
      <c r="Y43" s="278">
        <f>$G43*'2026 Labor Alloc %'!U43</f>
        <v>0</v>
      </c>
      <c r="Z43" s="278">
        <f>$G43*'2026 Labor Alloc %'!V43</f>
        <v>0</v>
      </c>
      <c r="AA43" s="278">
        <f>$G43*'2026 Labor Alloc %'!W43</f>
        <v>0</v>
      </c>
      <c r="AB43" s="278">
        <f>$G43*'2026 Labor Alloc %'!X43</f>
        <v>0</v>
      </c>
      <c r="AC43" s="278">
        <f>$G43*'2026 Labor Alloc %'!Y43</f>
        <v>0</v>
      </c>
      <c r="AD43" s="278">
        <f>$G43*'2026 Labor Alloc %'!Z43</f>
        <v>0</v>
      </c>
      <c r="AE43" s="278">
        <f>$G43*'2026 Labor Alloc %'!AA43</f>
        <v>0</v>
      </c>
      <c r="AF43" s="278">
        <f>$G43*'2026 Labor Alloc %'!AB43</f>
        <v>0</v>
      </c>
      <c r="AG43" s="278">
        <f>$G43*'2026 Labor Alloc %'!AC43</f>
        <v>0</v>
      </c>
      <c r="AH43" s="278">
        <f>$G43*'2026 Labor Alloc %'!AD43</f>
        <v>36591.091509374994</v>
      </c>
      <c r="AI43" s="278">
        <f>$G43*'2026 Labor Alloc %'!AE43</f>
        <v>12197.030503124999</v>
      </c>
      <c r="AJ43" s="278">
        <f>$G43*'2026 Labor Alloc %'!AF43</f>
        <v>0</v>
      </c>
      <c r="AK43" s="278">
        <f>$G43*'2026 Labor Alloc %'!AG43</f>
        <v>0</v>
      </c>
      <c r="AL43" s="278">
        <f>$G43*'2026 Labor Alloc %'!AH43</f>
        <v>0</v>
      </c>
      <c r="AM43" s="278">
        <f>$G43*'2026 Labor Alloc %'!AI43</f>
        <v>0</v>
      </c>
      <c r="AN43" s="278">
        <f>$G43*'2026 Labor Alloc %'!AJ43</f>
        <v>0</v>
      </c>
      <c r="AO43" s="278">
        <f>$G43*'2026 Labor Alloc %'!AK43</f>
        <v>0</v>
      </c>
      <c r="AP43" s="278">
        <f>$G43*'2026 Labor Alloc %'!AL43</f>
        <v>0</v>
      </c>
      <c r="AQ43" s="278">
        <f>$G43*'2026 Labor Alloc %'!AM43</f>
        <v>0</v>
      </c>
      <c r="AR43" s="278">
        <f>$G43*'2026 Labor Alloc %'!AN43</f>
        <v>0</v>
      </c>
      <c r="AS43" s="278">
        <f>$G43*'2026 Labor Alloc %'!AO43</f>
        <v>0</v>
      </c>
      <c r="AT43" s="278">
        <f>$G43*'2026 Labor Alloc %'!AP43</f>
        <v>0</v>
      </c>
      <c r="AU43" s="278">
        <f>$G43*'2026 Labor Alloc %'!AQ43</f>
        <v>0</v>
      </c>
      <c r="AV43" s="278">
        <f>$G43*'2026 Labor Alloc %'!AR43</f>
        <v>0</v>
      </c>
      <c r="AW43" s="278">
        <f>$G43*'2026 Labor Alloc %'!AS43</f>
        <v>0</v>
      </c>
      <c r="AX43" s="278">
        <f>$G43*'2026 Labor Alloc %'!AT43</f>
        <v>0</v>
      </c>
      <c r="AY43" s="278">
        <f>$G43*'2026 Labor Alloc %'!AU43</f>
        <v>0</v>
      </c>
      <c r="AZ43" s="278">
        <f t="shared" si="1"/>
        <v>48788.122012499996</v>
      </c>
      <c r="BA43" s="278">
        <f t="shared" si="2"/>
        <v>0</v>
      </c>
      <c r="BD43" s="123"/>
    </row>
    <row r="44" spans="1:56" ht="12.75">
      <c r="A44" s="66">
        <v>373</v>
      </c>
      <c r="B44" s="66" t="str">
        <f>'Comp 25-26'!A40</f>
        <v>Settle, Regina</v>
      </c>
      <c r="C44" s="66"/>
      <c r="D44" s="66" t="str">
        <f>'Comp 25-26'!C40</f>
        <v>Chore Services Coordinator</v>
      </c>
      <c r="E44" s="66"/>
      <c r="F44" s="66"/>
      <c r="G44" s="74">
        <f>'Comp 25-26'!T40</f>
        <v>47553.748124999998</v>
      </c>
      <c r="H44" s="278">
        <f>$G44*'2026 Labor Alloc %'!D44</f>
        <v>0</v>
      </c>
      <c r="I44" s="278">
        <v>0</v>
      </c>
      <c r="J44" s="278">
        <f>$G44*'2026 Labor Alloc %'!F44</f>
        <v>0</v>
      </c>
      <c r="K44" s="278">
        <f>$G44*'2026 Labor Alloc %'!G44</f>
        <v>0</v>
      </c>
      <c r="L44" s="278">
        <f>$G44*'2026 Labor Alloc %'!H44</f>
        <v>0</v>
      </c>
      <c r="M44" s="278">
        <f>$G44*'2026 Labor Alloc %'!I44</f>
        <v>0</v>
      </c>
      <c r="N44" s="278">
        <f>$G44*'2026 Labor Alloc %'!J44</f>
        <v>0</v>
      </c>
      <c r="O44" s="278">
        <f>$G44*'2026 Labor Alloc %'!K44</f>
        <v>0</v>
      </c>
      <c r="P44" s="278">
        <f>$G44*'2026 Labor Alloc %'!L44</f>
        <v>0</v>
      </c>
      <c r="Q44" s="278">
        <f>$G44*'2026 Labor Alloc %'!M44</f>
        <v>0</v>
      </c>
      <c r="R44" s="278">
        <f>$G44*'2026 Labor Alloc %'!N44</f>
        <v>0</v>
      </c>
      <c r="S44" s="278">
        <f>$G44*'2026 Labor Alloc %'!O44</f>
        <v>0</v>
      </c>
      <c r="T44" s="278">
        <f>$G44*'2026 Labor Alloc %'!P44</f>
        <v>0</v>
      </c>
      <c r="U44" s="278">
        <f>$G44*'2026 Labor Alloc %'!Q44</f>
        <v>0</v>
      </c>
      <c r="V44" s="278">
        <f>$G44*'2026 Labor Alloc %'!R44</f>
        <v>0</v>
      </c>
      <c r="W44" s="278">
        <f>$G44*'2026 Labor Alloc %'!S44</f>
        <v>0</v>
      </c>
      <c r="X44" s="278">
        <f>$G44*'2026 Labor Alloc %'!T44</f>
        <v>0</v>
      </c>
      <c r="Y44" s="278">
        <f>$G44*'2026 Labor Alloc %'!U44</f>
        <v>0</v>
      </c>
      <c r="Z44" s="278">
        <f>$G44*'2026 Labor Alloc %'!V44</f>
        <v>0</v>
      </c>
      <c r="AA44" s="278">
        <f>$G44*'2026 Labor Alloc %'!W44</f>
        <v>0</v>
      </c>
      <c r="AB44" s="278">
        <f>$G44*'2026 Labor Alloc %'!X44</f>
        <v>0</v>
      </c>
      <c r="AC44" s="278">
        <f>$G44*'2026 Labor Alloc %'!Y44</f>
        <v>0</v>
      </c>
      <c r="AD44" s="278">
        <f>$G44*'2026 Labor Alloc %'!Z44</f>
        <v>0</v>
      </c>
      <c r="AE44" s="278">
        <f>$G44*'2026 Labor Alloc %'!AA44</f>
        <v>0</v>
      </c>
      <c r="AF44" s="278">
        <f>$G44*'2026 Labor Alloc %'!AB44</f>
        <v>0</v>
      </c>
      <c r="AG44" s="278">
        <f>$G44*'2026 Labor Alloc %'!AC44</f>
        <v>0</v>
      </c>
      <c r="AH44" s="278">
        <f>$G44*'2026 Labor Alloc %'!AD44</f>
        <v>0</v>
      </c>
      <c r="AI44" s="278">
        <f>$G44*'2026 Labor Alloc %'!AE44</f>
        <v>0</v>
      </c>
      <c r="AJ44" s="278">
        <f>$G44*'2026 Labor Alloc %'!AF44</f>
        <v>0</v>
      </c>
      <c r="AK44" s="278">
        <f>$G44*'2026 Labor Alloc %'!AG44</f>
        <v>0</v>
      </c>
      <c r="AL44" s="278">
        <f>$G44*'2026 Labor Alloc %'!AH44</f>
        <v>0</v>
      </c>
      <c r="AM44" s="278">
        <f>$G44*'2026 Labor Alloc %'!AI44</f>
        <v>0</v>
      </c>
      <c r="AN44" s="278">
        <f>$G44*'2026 Labor Alloc %'!AJ44</f>
        <v>0</v>
      </c>
      <c r="AO44" s="278">
        <f>$G44*'2026 Labor Alloc %'!AK44</f>
        <v>0</v>
      </c>
      <c r="AP44" s="278">
        <f>$G44*'2026 Labor Alloc %'!AL44</f>
        <v>0</v>
      </c>
      <c r="AQ44" s="278">
        <f>$G44*'2026 Labor Alloc %'!AM44</f>
        <v>0</v>
      </c>
      <c r="AR44" s="278">
        <f>$G44*'2026 Labor Alloc %'!AN44</f>
        <v>0</v>
      </c>
      <c r="AS44" s="278">
        <f>$G44*'2026 Labor Alloc %'!AO44</f>
        <v>38042.998500000002</v>
      </c>
      <c r="AT44" s="278">
        <f>$G44*'2026 Labor Alloc %'!AP44</f>
        <v>9510.7496250000004</v>
      </c>
      <c r="AU44" s="278">
        <f>$G44*'2026 Labor Alloc %'!AQ44</f>
        <v>0</v>
      </c>
      <c r="AV44" s="278">
        <f>$G44*'2026 Labor Alloc %'!AR44</f>
        <v>0</v>
      </c>
      <c r="AW44" s="278">
        <f>$G44*'2026 Labor Alloc %'!AS44</f>
        <v>0</v>
      </c>
      <c r="AX44" s="278">
        <f>$G44*'2026 Labor Alloc %'!AT44</f>
        <v>0</v>
      </c>
      <c r="AY44" s="278">
        <f>$G44*'2026 Labor Alloc %'!AU44</f>
        <v>0</v>
      </c>
      <c r="AZ44" s="278">
        <f t="shared" si="1"/>
        <v>47553.748124999998</v>
      </c>
      <c r="BA44" s="278">
        <f t="shared" si="2"/>
        <v>0</v>
      </c>
      <c r="BD44" s="123"/>
    </row>
    <row r="45" spans="1:56" ht="12.75">
      <c r="A45" s="66">
        <v>213</v>
      </c>
      <c r="B45" s="66" t="str">
        <f>'Comp 25-26'!A41</f>
        <v>Eaton, Bryce</v>
      </c>
      <c r="C45" s="66"/>
      <c r="D45" s="66" t="str">
        <f>'Comp 25-26'!C41</f>
        <v>Intake Specialist</v>
      </c>
      <c r="E45" s="66"/>
      <c r="F45" s="66"/>
      <c r="G45" s="74">
        <f>'Comp 25-26'!T41</f>
        <v>41257.125</v>
      </c>
      <c r="H45" s="278">
        <f>$G45*'2026 Labor Alloc %'!D45</f>
        <v>0</v>
      </c>
      <c r="I45" s="278">
        <f>$G45*'2026 Labor Alloc %'!E45</f>
        <v>0</v>
      </c>
      <c r="J45" s="278">
        <f>$G45*'2026 Labor Alloc %'!F45</f>
        <v>0</v>
      </c>
      <c r="K45" s="278">
        <f>$G45*'2026 Labor Alloc %'!G45</f>
        <v>0</v>
      </c>
      <c r="L45" s="278">
        <f>$G45*'2026 Labor Alloc %'!H45</f>
        <v>0</v>
      </c>
      <c r="M45" s="278">
        <f>$G45*'2026 Labor Alloc %'!I45</f>
        <v>0</v>
      </c>
      <c r="N45" s="278">
        <f>$G45*'2026 Labor Alloc %'!J45</f>
        <v>0</v>
      </c>
      <c r="O45" s="278">
        <f>$G45*'2026 Labor Alloc %'!K45</f>
        <v>31355.415000000001</v>
      </c>
      <c r="P45" s="278">
        <f>$G45*'2026 Labor Alloc %'!L45</f>
        <v>9901.7099999999991</v>
      </c>
      <c r="Q45" s="278">
        <f>$G45*'2026 Labor Alloc %'!M45</f>
        <v>0</v>
      </c>
      <c r="R45" s="278">
        <f>$G45*'2026 Labor Alloc %'!N45</f>
        <v>0</v>
      </c>
      <c r="S45" s="278">
        <f>$G45*'2026 Labor Alloc %'!O45</f>
        <v>0</v>
      </c>
      <c r="T45" s="278">
        <f>$G45*'2026 Labor Alloc %'!P45</f>
        <v>0</v>
      </c>
      <c r="U45" s="278">
        <f>$G45*'2026 Labor Alloc %'!Q45</f>
        <v>0</v>
      </c>
      <c r="V45" s="278">
        <f>$G45*'2026 Labor Alloc %'!R45</f>
        <v>0</v>
      </c>
      <c r="W45" s="278">
        <f>$G45*'2026 Labor Alloc %'!S45</f>
        <v>0</v>
      </c>
      <c r="X45" s="278">
        <f>$G45*'2026 Labor Alloc %'!T45</f>
        <v>0</v>
      </c>
      <c r="Y45" s="278">
        <f>$G45*'2026 Labor Alloc %'!U45</f>
        <v>0</v>
      </c>
      <c r="Z45" s="278">
        <f>$G45*'2026 Labor Alloc %'!V45</f>
        <v>0</v>
      </c>
      <c r="AA45" s="278">
        <f>$G45*'2026 Labor Alloc %'!W45</f>
        <v>0</v>
      </c>
      <c r="AB45" s="278">
        <f>$G45*'2026 Labor Alloc %'!X45</f>
        <v>0</v>
      </c>
      <c r="AC45" s="278">
        <f>$G45*'2026 Labor Alloc %'!Y45</f>
        <v>0</v>
      </c>
      <c r="AD45" s="278">
        <f>$G45*'2026 Labor Alloc %'!Z45</f>
        <v>0</v>
      </c>
      <c r="AE45" s="278">
        <f>$G45*'2026 Labor Alloc %'!AA45</f>
        <v>0</v>
      </c>
      <c r="AF45" s="278">
        <f>$G45*'2026 Labor Alloc %'!AB45</f>
        <v>0</v>
      </c>
      <c r="AG45" s="278">
        <f>$G45*'2026 Labor Alloc %'!AC45</f>
        <v>0</v>
      </c>
      <c r="AH45" s="278">
        <f>$G45*'2026 Labor Alloc %'!AD45</f>
        <v>0</v>
      </c>
      <c r="AI45" s="278">
        <f>$G45*'2026 Labor Alloc %'!AE45</f>
        <v>0</v>
      </c>
      <c r="AJ45" s="278">
        <f>$G45*'2026 Labor Alloc %'!AF45</f>
        <v>0</v>
      </c>
      <c r="AK45" s="278">
        <f>$G45*'2026 Labor Alloc %'!AG45</f>
        <v>0</v>
      </c>
      <c r="AL45" s="278">
        <f>$G45*'2026 Labor Alloc %'!AH45</f>
        <v>0</v>
      </c>
      <c r="AM45" s="278">
        <f>$G45*'2026 Labor Alloc %'!AI45</f>
        <v>0</v>
      </c>
      <c r="AN45" s="278">
        <f>$G45*'2026 Labor Alloc %'!AJ45</f>
        <v>0</v>
      </c>
      <c r="AO45" s="278">
        <f>$G45*'2026 Labor Alloc %'!AK45</f>
        <v>0</v>
      </c>
      <c r="AP45" s="278">
        <f>$G45*'2026 Labor Alloc %'!AL45</f>
        <v>0</v>
      </c>
      <c r="AQ45" s="278">
        <f>$G45*'2026 Labor Alloc %'!AM45</f>
        <v>0</v>
      </c>
      <c r="AR45" s="278">
        <f>$G45*'2026 Labor Alloc %'!AN45</f>
        <v>0</v>
      </c>
      <c r="AS45" s="278">
        <f>$G45*'2026 Labor Alloc %'!AO45</f>
        <v>0</v>
      </c>
      <c r="AT45" s="278">
        <f>$G45*'2026 Labor Alloc %'!AP45</f>
        <v>0</v>
      </c>
      <c r="AU45" s="278">
        <f>$G45*'2026 Labor Alloc %'!AQ45</f>
        <v>0</v>
      </c>
      <c r="AV45" s="278">
        <f>$G45*'2026 Labor Alloc %'!AR45</f>
        <v>0</v>
      </c>
      <c r="AW45" s="278">
        <f>$G45*'2026 Labor Alloc %'!AS45</f>
        <v>0</v>
      </c>
      <c r="AX45" s="278">
        <f>$G45*'2026 Labor Alloc %'!AT45</f>
        <v>0</v>
      </c>
      <c r="AY45" s="278">
        <f>$G45*'2026 Labor Alloc %'!AU45</f>
        <v>0</v>
      </c>
      <c r="AZ45" s="278">
        <f t="shared" si="1"/>
        <v>41257.125</v>
      </c>
      <c r="BA45" s="278">
        <f t="shared" si="2"/>
        <v>0</v>
      </c>
      <c r="BD45" s="123"/>
    </row>
    <row r="46" spans="1:56" ht="12.75">
      <c r="A46" s="66">
        <v>218</v>
      </c>
      <c r="B46" s="66" t="str">
        <f>'Comp 25-26'!A42</f>
        <v>Martin, Kendall Ann</v>
      </c>
      <c r="C46" s="66"/>
      <c r="D46" s="66" t="str">
        <f>'Comp 25-26'!C42</f>
        <v>Intake Specialist</v>
      </c>
      <c r="E46" s="66"/>
      <c r="F46" s="66"/>
      <c r="G46" s="74">
        <f>'Comp 25-26'!T42</f>
        <v>42494.838750000003</v>
      </c>
      <c r="H46" s="278">
        <f>$G46*'2026 Labor Alloc %'!D46</f>
        <v>0</v>
      </c>
      <c r="I46" s="278">
        <f>$G46*'2026 Labor Alloc %'!E46</f>
        <v>0</v>
      </c>
      <c r="J46" s="278">
        <f>$G46*'2026 Labor Alloc %'!F46</f>
        <v>0</v>
      </c>
      <c r="K46" s="278">
        <f>$G46*'2026 Labor Alloc %'!G46</f>
        <v>0</v>
      </c>
      <c r="L46" s="278">
        <f>$G46*'2026 Labor Alloc %'!H46</f>
        <v>0</v>
      </c>
      <c r="M46" s="278">
        <f>$G46*'2026 Labor Alloc %'!I46</f>
        <v>0</v>
      </c>
      <c r="N46" s="278">
        <f>$G46*'2026 Labor Alloc %'!J46</f>
        <v>0</v>
      </c>
      <c r="O46" s="278">
        <f>$G46*'2026 Labor Alloc %'!K46</f>
        <v>32296.077450000001</v>
      </c>
      <c r="P46" s="278">
        <f>$G46*'2026 Labor Alloc %'!L46</f>
        <v>10198.7613</v>
      </c>
      <c r="Q46" s="278">
        <f>$G46*'2026 Labor Alloc %'!M46</f>
        <v>0</v>
      </c>
      <c r="R46" s="278">
        <f>$G46*'2026 Labor Alloc %'!N46</f>
        <v>0</v>
      </c>
      <c r="S46" s="278">
        <f>$G46*'2026 Labor Alloc %'!O46</f>
        <v>0</v>
      </c>
      <c r="T46" s="278">
        <f>$G46*'2026 Labor Alloc %'!P46</f>
        <v>0</v>
      </c>
      <c r="U46" s="278">
        <f>$G46*'2026 Labor Alloc %'!Q46</f>
        <v>0</v>
      </c>
      <c r="V46" s="278">
        <f>$G46*'2026 Labor Alloc %'!R46</f>
        <v>0</v>
      </c>
      <c r="W46" s="278">
        <f>$G46*'2026 Labor Alloc %'!S46</f>
        <v>0</v>
      </c>
      <c r="X46" s="278">
        <f>$G46*'2026 Labor Alloc %'!T46</f>
        <v>0</v>
      </c>
      <c r="Y46" s="278">
        <f>$G46*'2026 Labor Alloc %'!U46</f>
        <v>0</v>
      </c>
      <c r="Z46" s="278">
        <f>$G46*'2026 Labor Alloc %'!V46</f>
        <v>0</v>
      </c>
      <c r="AA46" s="278">
        <f>$G46*'2026 Labor Alloc %'!W46</f>
        <v>0</v>
      </c>
      <c r="AB46" s="278">
        <f>$G46*'2026 Labor Alloc %'!X46</f>
        <v>0</v>
      </c>
      <c r="AC46" s="278">
        <f>$G46*'2026 Labor Alloc %'!Y46</f>
        <v>0</v>
      </c>
      <c r="AD46" s="278">
        <f>$G46*'2026 Labor Alloc %'!Z46</f>
        <v>0</v>
      </c>
      <c r="AE46" s="278">
        <f>$G46*'2026 Labor Alloc %'!AA46</f>
        <v>0</v>
      </c>
      <c r="AF46" s="278">
        <f>$G46*'2026 Labor Alloc %'!AB46</f>
        <v>0</v>
      </c>
      <c r="AG46" s="278">
        <f>$G46*'2026 Labor Alloc %'!AC46</f>
        <v>0</v>
      </c>
      <c r="AH46" s="278">
        <f>$G46*'2026 Labor Alloc %'!AD46</f>
        <v>0</v>
      </c>
      <c r="AI46" s="278">
        <f>$G46*'2026 Labor Alloc %'!AE46</f>
        <v>0</v>
      </c>
      <c r="AJ46" s="278">
        <f>$G46*'2026 Labor Alloc %'!AF46</f>
        <v>0</v>
      </c>
      <c r="AK46" s="278">
        <f>$G46*'2026 Labor Alloc %'!AG46</f>
        <v>0</v>
      </c>
      <c r="AL46" s="278">
        <f>$G46*'2026 Labor Alloc %'!AH46</f>
        <v>0</v>
      </c>
      <c r="AM46" s="278">
        <f>$G46*'2026 Labor Alloc %'!AI46</f>
        <v>0</v>
      </c>
      <c r="AN46" s="278">
        <f>$G46*'2026 Labor Alloc %'!AJ46</f>
        <v>0</v>
      </c>
      <c r="AO46" s="278">
        <f>$G46*'2026 Labor Alloc %'!AK46</f>
        <v>0</v>
      </c>
      <c r="AP46" s="278">
        <f>$G46*'2026 Labor Alloc %'!AL46</f>
        <v>0</v>
      </c>
      <c r="AQ46" s="278">
        <f>$G46*'2026 Labor Alloc %'!AM46</f>
        <v>0</v>
      </c>
      <c r="AR46" s="278">
        <f>$G46*'2026 Labor Alloc %'!AN46</f>
        <v>0</v>
      </c>
      <c r="AS46" s="278">
        <f>$G46*'2026 Labor Alloc %'!AO46</f>
        <v>0</v>
      </c>
      <c r="AT46" s="278">
        <f>$G46*'2026 Labor Alloc %'!AP46</f>
        <v>0</v>
      </c>
      <c r="AU46" s="278">
        <f>$G46*'2026 Labor Alloc %'!AQ46</f>
        <v>0</v>
      </c>
      <c r="AV46" s="278">
        <f>$G46*'2026 Labor Alloc %'!AR46</f>
        <v>0</v>
      </c>
      <c r="AW46" s="278">
        <f>$G46*'2026 Labor Alloc %'!AS46</f>
        <v>0</v>
      </c>
      <c r="AX46" s="278">
        <f>$G46*'2026 Labor Alloc %'!AT46</f>
        <v>0</v>
      </c>
      <c r="AY46" s="278">
        <f>$G46*'2026 Labor Alloc %'!AU46</f>
        <v>0</v>
      </c>
      <c r="AZ46" s="278">
        <f t="shared" si="1"/>
        <v>42494.838750000003</v>
      </c>
      <c r="BA46" s="278">
        <f t="shared" si="2"/>
        <v>0</v>
      </c>
      <c r="BD46" s="123"/>
    </row>
    <row r="47" spans="1:56" ht="12.75">
      <c r="A47" s="66">
        <v>375</v>
      </c>
      <c r="B47" s="66" t="str">
        <f>'Comp 25-26'!A43</f>
        <v>Young, Stephanie</v>
      </c>
      <c r="C47" s="66"/>
      <c r="D47" s="66" t="str">
        <f>'Comp 25-26'!C43</f>
        <v>Health and Wellness Coordinator</v>
      </c>
      <c r="E47" s="66"/>
      <c r="F47" s="66"/>
      <c r="G47" s="74">
        <f>'Comp 25-26'!T43</f>
        <v>45659.9</v>
      </c>
      <c r="H47" s="278">
        <f>$G47*'2026 Labor Alloc %'!D47</f>
        <v>0</v>
      </c>
      <c r="I47" s="278">
        <f>$G47*'2026 Labor Alloc %'!E47</f>
        <v>0</v>
      </c>
      <c r="J47" s="278">
        <f>$G47*'2026 Labor Alloc %'!F47</f>
        <v>0</v>
      </c>
      <c r="K47" s="278">
        <f>$G47*'2026 Labor Alloc %'!G47</f>
        <v>0</v>
      </c>
      <c r="L47" s="278">
        <f>$G47*'2026 Labor Alloc %'!H47</f>
        <v>0</v>
      </c>
      <c r="M47" s="278">
        <f>$G47*'2026 Labor Alloc %'!I47</f>
        <v>0</v>
      </c>
      <c r="N47" s="278">
        <f>$G47*'2026 Labor Alloc %'!J47</f>
        <v>0</v>
      </c>
      <c r="O47" s="278">
        <f>$G47*'2026 Labor Alloc %'!K47</f>
        <v>0</v>
      </c>
      <c r="P47" s="278">
        <f>$G47*'2026 Labor Alloc %'!L47</f>
        <v>0</v>
      </c>
      <c r="Q47" s="278">
        <f>$G47*'2026 Labor Alloc %'!M47</f>
        <v>0</v>
      </c>
      <c r="R47" s="278">
        <f>$G47*'2026 Labor Alloc %'!N47</f>
        <v>0</v>
      </c>
      <c r="S47" s="278">
        <f>$G47*'2026 Labor Alloc %'!O47</f>
        <v>0</v>
      </c>
      <c r="T47" s="278">
        <f>$G47*'2026 Labor Alloc %'!P47</f>
        <v>0</v>
      </c>
      <c r="U47" s="278">
        <f>$G47*'2026 Labor Alloc %'!Q47</f>
        <v>0</v>
      </c>
      <c r="V47" s="278">
        <f>$G47*'2026 Labor Alloc %'!R47</f>
        <v>0</v>
      </c>
      <c r="W47" s="278">
        <f>$G47*'2026 Labor Alloc %'!S47</f>
        <v>0</v>
      </c>
      <c r="X47" s="278">
        <f>$G47*'2026 Labor Alloc %'!T47</f>
        <v>0</v>
      </c>
      <c r="Y47" s="278">
        <f>$G47*'2026 Labor Alloc %'!U47</f>
        <v>0</v>
      </c>
      <c r="Z47" s="278">
        <f>$G47*'2026 Labor Alloc %'!V47</f>
        <v>0</v>
      </c>
      <c r="AA47" s="278">
        <f>$G47*'2026 Labor Alloc %'!W47</f>
        <v>0</v>
      </c>
      <c r="AB47" s="278">
        <f>$G47*'2026 Labor Alloc %'!X47</f>
        <v>0</v>
      </c>
      <c r="AC47" s="278">
        <f>$G47*'2026 Labor Alloc %'!Y47</f>
        <v>0</v>
      </c>
      <c r="AD47" s="278">
        <f>$G47*'2026 Labor Alloc %'!Z47</f>
        <v>0</v>
      </c>
      <c r="AE47" s="278">
        <f>$G47*'2026 Labor Alloc %'!AA47</f>
        <v>0</v>
      </c>
      <c r="AF47" s="278">
        <f>$G47*'2026 Labor Alloc %'!AB47</f>
        <v>0</v>
      </c>
      <c r="AG47" s="278">
        <f>$G47*'2026 Labor Alloc %'!AC47</f>
        <v>0</v>
      </c>
      <c r="AH47" s="278">
        <f>$G47*'2026 Labor Alloc %'!AD47</f>
        <v>0</v>
      </c>
      <c r="AI47" s="278">
        <f>$G47*'2026 Labor Alloc %'!AE47</f>
        <v>0</v>
      </c>
      <c r="AJ47" s="278">
        <f>$G47*'2026 Labor Alloc %'!AF47</f>
        <v>27395.94</v>
      </c>
      <c r="AK47" s="278">
        <f>$G47*'2026 Labor Alloc %'!AG47</f>
        <v>0</v>
      </c>
      <c r="AL47" s="278">
        <f>$G47*'2026 Labor Alloc %'!AH47</f>
        <v>2282.9950000000003</v>
      </c>
      <c r="AM47" s="278">
        <f>$G47*'2026 Labor Alloc %'!AI47</f>
        <v>3196.1930000000002</v>
      </c>
      <c r="AN47" s="278">
        <f>$G47*'2026 Labor Alloc %'!AJ47</f>
        <v>9131.9800000000014</v>
      </c>
      <c r="AO47" s="278">
        <f>$G47*'2026 Labor Alloc %'!AK47</f>
        <v>3652.7920000000004</v>
      </c>
      <c r="AP47" s="278">
        <f>$G47*'2026 Labor Alloc %'!AL47</f>
        <v>0</v>
      </c>
      <c r="AQ47" s="278">
        <f>$G47*'2026 Labor Alloc %'!AM47</f>
        <v>0</v>
      </c>
      <c r="AR47" s="278">
        <f>$G47*'2026 Labor Alloc %'!AN47</f>
        <v>0</v>
      </c>
      <c r="AS47" s="278">
        <f>$G47*'2026 Labor Alloc %'!AO47</f>
        <v>0</v>
      </c>
      <c r="AT47" s="278">
        <f>$G47*'2026 Labor Alloc %'!AP47</f>
        <v>0</v>
      </c>
      <c r="AU47" s="278">
        <f>$G47*'2026 Labor Alloc %'!AQ47</f>
        <v>0</v>
      </c>
      <c r="AV47" s="278">
        <f>$G47*'2026 Labor Alloc %'!AR47</f>
        <v>0</v>
      </c>
      <c r="AW47" s="278">
        <f>$G47*'2026 Labor Alloc %'!AS47</f>
        <v>0</v>
      </c>
      <c r="AX47" s="278">
        <f>$G47*'2026 Labor Alloc %'!AT47</f>
        <v>0</v>
      </c>
      <c r="AY47" s="278">
        <f>$G47*'2026 Labor Alloc %'!AU47</f>
        <v>0</v>
      </c>
      <c r="AZ47" s="278">
        <f t="shared" si="1"/>
        <v>45659.9</v>
      </c>
      <c r="BA47" s="278">
        <f t="shared" si="2"/>
        <v>0</v>
      </c>
      <c r="BD47" s="123"/>
    </row>
    <row r="48" spans="1:56" ht="12.75">
      <c r="A48" s="66"/>
      <c r="B48" s="66" t="str">
        <f>'Comp 25-26'!A44</f>
        <v>Marisha, Eva</v>
      </c>
      <c r="C48" s="277"/>
      <c r="D48" s="66" t="str">
        <f>'Comp 25-26'!C44</f>
        <v>Shine Program Assistant</v>
      </c>
      <c r="E48" s="277"/>
      <c r="F48" s="277"/>
      <c r="G48" s="74">
        <f>'Comp 25-26'!T44</f>
        <v>42090.126000000004</v>
      </c>
      <c r="H48" s="278">
        <f>$G48*'2026 Labor Alloc %'!D48</f>
        <v>0</v>
      </c>
      <c r="I48" s="278">
        <f>$G48*'2026 Labor Alloc %'!E48</f>
        <v>0</v>
      </c>
      <c r="J48" s="278">
        <f>$G48*'2026 Labor Alloc %'!F48</f>
        <v>0</v>
      </c>
      <c r="K48" s="278">
        <f>$G48*'2026 Labor Alloc %'!G48</f>
        <v>0</v>
      </c>
      <c r="L48" s="278">
        <f>$G48*'2026 Labor Alloc %'!H48</f>
        <v>0</v>
      </c>
      <c r="M48" s="278">
        <f>$G48*'2026 Labor Alloc %'!I48</f>
        <v>0</v>
      </c>
      <c r="N48" s="278">
        <f>$G48*'2026 Labor Alloc %'!J48</f>
        <v>0</v>
      </c>
      <c r="O48" s="278">
        <f>$G48*'2026 Labor Alloc %'!K48</f>
        <v>0</v>
      </c>
      <c r="P48" s="278">
        <f>$G48*'2026 Labor Alloc %'!L48</f>
        <v>0</v>
      </c>
      <c r="Q48" s="278">
        <f>$G48*'2026 Labor Alloc %'!M48</f>
        <v>0</v>
      </c>
      <c r="R48" s="278">
        <f>$G48*'2026 Labor Alloc %'!N48</f>
        <v>0</v>
      </c>
      <c r="S48" s="278">
        <f>$G48*'2026 Labor Alloc %'!O48</f>
        <v>42090.126000000004</v>
      </c>
      <c r="T48" s="278">
        <f>$G48*'2026 Labor Alloc %'!P48</f>
        <v>0</v>
      </c>
      <c r="U48" s="278">
        <f>$G48*'2026 Labor Alloc %'!Q48</f>
        <v>0</v>
      </c>
      <c r="V48" s="278">
        <f>$G48*'2026 Labor Alloc %'!R48</f>
        <v>0</v>
      </c>
      <c r="W48" s="278">
        <f>$G48*'2026 Labor Alloc %'!S48</f>
        <v>0</v>
      </c>
      <c r="X48" s="278">
        <f>$G48*'2026 Labor Alloc %'!T48</f>
        <v>0</v>
      </c>
      <c r="Y48" s="278">
        <f>$G48*'2026 Labor Alloc %'!U48</f>
        <v>0</v>
      </c>
      <c r="Z48" s="278">
        <f>$G48*'2026 Labor Alloc %'!V48</f>
        <v>0</v>
      </c>
      <c r="AA48" s="278">
        <f>$G48*'2026 Labor Alloc %'!W48</f>
        <v>0</v>
      </c>
      <c r="AB48" s="278">
        <f>$G48*'2026 Labor Alloc %'!X48</f>
        <v>0</v>
      </c>
      <c r="AC48" s="278">
        <f>$G48*'2026 Labor Alloc %'!Y48</f>
        <v>0</v>
      </c>
      <c r="AD48" s="278">
        <f>$G48*'2026 Labor Alloc %'!Z48</f>
        <v>0</v>
      </c>
      <c r="AE48" s="278">
        <f>$G48*'2026 Labor Alloc %'!AA48</f>
        <v>0</v>
      </c>
      <c r="AF48" s="278">
        <f>$G48*'2026 Labor Alloc %'!AB48</f>
        <v>0</v>
      </c>
      <c r="AG48" s="278">
        <f>$G48*'2026 Labor Alloc %'!AC48</f>
        <v>0</v>
      </c>
      <c r="AH48" s="278">
        <f>$G48*'2026 Labor Alloc %'!AD48</f>
        <v>0</v>
      </c>
      <c r="AI48" s="278">
        <f>$G48*'2026 Labor Alloc %'!AE48</f>
        <v>0</v>
      </c>
      <c r="AJ48" s="278">
        <f>$G48*'2026 Labor Alloc %'!AF48</f>
        <v>0</v>
      </c>
      <c r="AK48" s="278">
        <f>$G48*'2026 Labor Alloc %'!AG48</f>
        <v>0</v>
      </c>
      <c r="AL48" s="278">
        <f>$G48*'2026 Labor Alloc %'!AH48</f>
        <v>0</v>
      </c>
      <c r="AM48" s="278">
        <f>$G48*'2026 Labor Alloc %'!AI48</f>
        <v>0</v>
      </c>
      <c r="AN48" s="278">
        <f>$G48*'2026 Labor Alloc %'!AJ48</f>
        <v>0</v>
      </c>
      <c r="AO48" s="278">
        <f>$G48*'2026 Labor Alloc %'!AK48</f>
        <v>0</v>
      </c>
      <c r="AP48" s="278">
        <f>$G48*'2026 Labor Alloc %'!AL48</f>
        <v>0</v>
      </c>
      <c r="AQ48" s="278">
        <f>$G48*'2026 Labor Alloc %'!AM48</f>
        <v>0</v>
      </c>
      <c r="AR48" s="278">
        <f>$G48*'2026 Labor Alloc %'!AN48</f>
        <v>0</v>
      </c>
      <c r="AS48" s="278">
        <f>$G48*'2026 Labor Alloc %'!AO48</f>
        <v>0</v>
      </c>
      <c r="AT48" s="278">
        <f>$G48*'2026 Labor Alloc %'!AP48</f>
        <v>0</v>
      </c>
      <c r="AU48" s="278">
        <f>$G48*'2026 Labor Alloc %'!AQ48</f>
        <v>0</v>
      </c>
      <c r="AV48" s="278">
        <f>$G48*'2026 Labor Alloc %'!AR48</f>
        <v>0</v>
      </c>
      <c r="AW48" s="278">
        <f>$G48*'2026 Labor Alloc %'!AS48</f>
        <v>0</v>
      </c>
      <c r="AX48" s="278">
        <f>$G48*'2026 Labor Alloc %'!AT48</f>
        <v>0</v>
      </c>
      <c r="AY48" s="278">
        <f>$G48*'2026 Labor Alloc %'!AU48</f>
        <v>0</v>
      </c>
      <c r="AZ48" s="278">
        <f t="shared" si="1"/>
        <v>42090.126000000004</v>
      </c>
      <c r="BA48" s="278">
        <f t="shared" si="2"/>
        <v>0</v>
      </c>
      <c r="BD48" s="123"/>
    </row>
    <row r="49" spans="1:56" ht="12.75">
      <c r="A49" s="66">
        <v>226</v>
      </c>
      <c r="B49" s="66" t="str">
        <f>'Comp 25-26'!A45</f>
        <v>Marsalek, Kerry</v>
      </c>
      <c r="C49" s="66"/>
      <c r="D49" s="66" t="str">
        <f>'Comp 25-26'!C45</f>
        <v xml:space="preserve">Director of Healthcare and Innovation </v>
      </c>
      <c r="E49" s="66"/>
      <c r="F49" s="66"/>
      <c r="G49" s="74">
        <f>'Comp 25-26'!T45</f>
        <v>83026.820662500002</v>
      </c>
      <c r="H49" s="278">
        <f>$G49*'2026 Labor Alloc %'!D49</f>
        <v>0</v>
      </c>
      <c r="I49" s="278">
        <f>$G49*'2026 Labor Alloc %'!E49</f>
        <v>0</v>
      </c>
      <c r="J49" s="278">
        <f>$G49*'2026 Labor Alloc %'!F49</f>
        <v>0</v>
      </c>
      <c r="K49" s="278">
        <f>$G49*'2026 Labor Alloc %'!G49</f>
        <v>0</v>
      </c>
      <c r="L49" s="278">
        <f>$G49*'2026 Labor Alloc %'!H49</f>
        <v>0</v>
      </c>
      <c r="M49" s="278">
        <f>$G49*'2026 Labor Alloc %'!I49</f>
        <v>0</v>
      </c>
      <c r="N49" s="278">
        <f>$G49*'2026 Labor Alloc %'!J49</f>
        <v>0</v>
      </c>
      <c r="O49" s="278">
        <f>$G49*'2026 Labor Alloc %'!K49</f>
        <v>0</v>
      </c>
      <c r="P49" s="278">
        <f>$G49*'2026 Labor Alloc %'!L49</f>
        <v>0</v>
      </c>
      <c r="Q49" s="278">
        <f>$G49*'2026 Labor Alloc %'!M49</f>
        <v>0</v>
      </c>
      <c r="R49" s="278">
        <f>$G49*'2026 Labor Alloc %'!N49</f>
        <v>8302.6820662500013</v>
      </c>
      <c r="S49" s="278">
        <f>$G49*'2026 Labor Alloc %'!O49</f>
        <v>12454.023099374999</v>
      </c>
      <c r="T49" s="278">
        <f>$G49*'2026 Labor Alloc %'!P49</f>
        <v>4151.3410331250006</v>
      </c>
      <c r="U49" s="278">
        <f>$G49*'2026 Labor Alloc %'!Q49</f>
        <v>0</v>
      </c>
      <c r="V49" s="278">
        <f>$G49*'2026 Labor Alloc %'!R49</f>
        <v>0</v>
      </c>
      <c r="W49" s="278">
        <f>$G49*'2026 Labor Alloc %'!S49</f>
        <v>0</v>
      </c>
      <c r="X49" s="278">
        <f>$G49*'2026 Labor Alloc %'!T49</f>
        <v>0</v>
      </c>
      <c r="Y49" s="278">
        <f>$G49*'2026 Labor Alloc %'!U49</f>
        <v>0</v>
      </c>
      <c r="Z49" s="278">
        <f>$G49*'2026 Labor Alloc %'!V49</f>
        <v>0</v>
      </c>
      <c r="AA49" s="278">
        <f>$G49*'2026 Labor Alloc %'!W49</f>
        <v>0</v>
      </c>
      <c r="AB49" s="278">
        <f>$G49*'2026 Labor Alloc %'!X49</f>
        <v>0</v>
      </c>
      <c r="AC49" s="278">
        <f>$G49*'2026 Labor Alloc %'!Y49</f>
        <v>0</v>
      </c>
      <c r="AD49" s="278">
        <f>$G49*'2026 Labor Alloc %'!Z49</f>
        <v>0</v>
      </c>
      <c r="AE49" s="278">
        <f>$G49*'2026 Labor Alloc %'!AA49</f>
        <v>0</v>
      </c>
      <c r="AF49" s="278">
        <f>$G49*'2026 Labor Alloc %'!AB49</f>
        <v>0</v>
      </c>
      <c r="AG49" s="278">
        <f>$G49*'2026 Labor Alloc %'!AC49</f>
        <v>0</v>
      </c>
      <c r="AH49" s="278">
        <f>$G49*'2026 Labor Alloc %'!AD49</f>
        <v>4151.3410331250006</v>
      </c>
      <c r="AI49" s="278">
        <f>$G49*'2026 Labor Alloc %'!AE49</f>
        <v>4151.3410331250006</v>
      </c>
      <c r="AJ49" s="278">
        <f>$G49*'2026 Labor Alloc %'!AF49</f>
        <v>0</v>
      </c>
      <c r="AK49" s="278">
        <f>$G49*'2026 Labor Alloc %'!AG49</f>
        <v>0</v>
      </c>
      <c r="AL49" s="278">
        <f>$G49*'2026 Labor Alloc %'!AH49</f>
        <v>0</v>
      </c>
      <c r="AM49" s="278">
        <f>$G49*'2026 Labor Alloc %'!AI49</f>
        <v>0</v>
      </c>
      <c r="AN49" s="278">
        <f>$G49*'2026 Labor Alloc %'!AJ49</f>
        <v>0</v>
      </c>
      <c r="AO49" s="278">
        <f>$G49*'2026 Labor Alloc %'!AK49</f>
        <v>0</v>
      </c>
      <c r="AP49" s="278">
        <f>$G49*'2026 Labor Alloc %'!AL49</f>
        <v>0</v>
      </c>
      <c r="AQ49" s="278">
        <f>$G49*'2026 Labor Alloc %'!AM49</f>
        <v>0</v>
      </c>
      <c r="AR49" s="278">
        <f>$G49*'2026 Labor Alloc %'!AN49</f>
        <v>0</v>
      </c>
      <c r="AS49" s="278">
        <f>$G49*'2026 Labor Alloc %'!AO49</f>
        <v>0</v>
      </c>
      <c r="AT49" s="278">
        <f>$G49*'2026 Labor Alloc %'!AP49</f>
        <v>0</v>
      </c>
      <c r="AU49" s="278">
        <f>$G49*'2026 Labor Alloc %'!AQ49</f>
        <v>0</v>
      </c>
      <c r="AV49" s="278">
        <f>$G49*'2026 Labor Alloc %'!AR49</f>
        <v>0</v>
      </c>
      <c r="AW49" s="278">
        <f>$G49*'2026 Labor Alloc %'!AS49</f>
        <v>0</v>
      </c>
      <c r="AX49" s="278">
        <f>$G49*'2026 Labor Alloc %'!AT49</f>
        <v>49816.092397499997</v>
      </c>
      <c r="AY49" s="278">
        <f>$G49*'2026 Labor Alloc %'!AU49</f>
        <v>0</v>
      </c>
      <c r="AZ49" s="278">
        <f t="shared" si="1"/>
        <v>83026.820662500002</v>
      </c>
      <c r="BA49" s="278">
        <f t="shared" si="2"/>
        <v>0</v>
      </c>
      <c r="BD49" s="123"/>
    </row>
    <row r="50" spans="1:56" ht="12.75">
      <c r="A50" s="66">
        <v>227</v>
      </c>
      <c r="B50" s="66" t="str">
        <f>'Comp 25-26'!A46</f>
        <v>Martino, Tawnya</v>
      </c>
      <c r="C50" s="66"/>
      <c r="D50" s="66" t="str">
        <f>'Comp 25-26'!C46</f>
        <v>ADRC Director</v>
      </c>
      <c r="E50" s="66"/>
      <c r="F50" s="66"/>
      <c r="G50" s="74">
        <f>'Comp 25-26'!T46</f>
        <v>113056.50671250001</v>
      </c>
      <c r="H50" s="278">
        <f>$G50*'2026 Labor Alloc %'!D50</f>
        <v>2261.1301342500001</v>
      </c>
      <c r="I50" s="278">
        <f>$G50*'2026 Labor Alloc %'!E50</f>
        <v>28264.126678125001</v>
      </c>
      <c r="J50" s="278">
        <f>$G50*'2026 Labor Alloc %'!F50</f>
        <v>0</v>
      </c>
      <c r="K50" s="278">
        <f>$G50*'2026 Labor Alloc %'!G50</f>
        <v>16958.476006875</v>
      </c>
      <c r="L50" s="278">
        <f>$G50*'2026 Labor Alloc %'!H50</f>
        <v>0</v>
      </c>
      <c r="M50" s="278">
        <f>$G50*'2026 Labor Alloc %'!I50</f>
        <v>9044.5205370000003</v>
      </c>
      <c r="N50" s="278">
        <f>$G50*'2026 Labor Alloc %'!J50</f>
        <v>0</v>
      </c>
      <c r="O50" s="278">
        <f>$G50*'2026 Labor Alloc %'!K50</f>
        <v>22611.301342500003</v>
      </c>
      <c r="P50" s="278">
        <f>$G50*'2026 Labor Alloc %'!L50</f>
        <v>0</v>
      </c>
      <c r="Q50" s="278">
        <f>$G50*'2026 Labor Alloc %'!M50</f>
        <v>0</v>
      </c>
      <c r="R50" s="278">
        <f>$G50*'2026 Labor Alloc %'!N50</f>
        <v>0</v>
      </c>
      <c r="S50" s="278">
        <f>$G50*'2026 Labor Alloc %'!O50</f>
        <v>0</v>
      </c>
      <c r="T50" s="278">
        <f>$G50*'2026 Labor Alloc %'!P50</f>
        <v>0</v>
      </c>
      <c r="U50" s="278">
        <f>$G50*'2026 Labor Alloc %'!Q50</f>
        <v>0</v>
      </c>
      <c r="V50" s="278">
        <f>$G50*'2026 Labor Alloc %'!R50</f>
        <v>0</v>
      </c>
      <c r="W50" s="278">
        <f>$G50*'2026 Labor Alloc %'!S50</f>
        <v>0</v>
      </c>
      <c r="X50" s="278">
        <f>$G50*'2026 Labor Alloc %'!T50</f>
        <v>0</v>
      </c>
      <c r="Y50" s="278">
        <f>$G50*'2026 Labor Alloc %'!U50</f>
        <v>0</v>
      </c>
      <c r="Z50" s="278">
        <f>$G50*'2026 Labor Alloc %'!V50</f>
        <v>0</v>
      </c>
      <c r="AA50" s="278">
        <f>$G50*'2026 Labor Alloc %'!W50</f>
        <v>7913.9554698750007</v>
      </c>
      <c r="AB50" s="278">
        <f>$G50*'2026 Labor Alloc %'!X50</f>
        <v>0</v>
      </c>
      <c r="AC50" s="278">
        <f>$G50*'2026 Labor Alloc %'!Y50</f>
        <v>0</v>
      </c>
      <c r="AD50" s="278">
        <f>$G50*'2026 Labor Alloc %'!Z50</f>
        <v>0</v>
      </c>
      <c r="AE50" s="278">
        <f>$G50*'2026 Labor Alloc %'!AA50</f>
        <v>0</v>
      </c>
      <c r="AF50" s="278">
        <f>$G50*'2026 Labor Alloc %'!AB50</f>
        <v>0</v>
      </c>
      <c r="AG50" s="278">
        <f>$G50*'2026 Labor Alloc %'!AC50</f>
        <v>0</v>
      </c>
      <c r="AH50" s="278">
        <f>$G50*'2026 Labor Alloc %'!AD50</f>
        <v>0</v>
      </c>
      <c r="AI50" s="278">
        <f>$G50*'2026 Labor Alloc %'!AE50</f>
        <v>0</v>
      </c>
      <c r="AJ50" s="278">
        <f>$G50*'2026 Labor Alloc %'!AF50</f>
        <v>0</v>
      </c>
      <c r="AK50" s="278">
        <f>$G50*'2026 Labor Alloc %'!AG50</f>
        <v>0</v>
      </c>
      <c r="AL50" s="278">
        <f>$G50*'2026 Labor Alloc %'!AH50</f>
        <v>0</v>
      </c>
      <c r="AM50" s="278">
        <f>$G50*'2026 Labor Alloc %'!AI50</f>
        <v>0</v>
      </c>
      <c r="AN50" s="278">
        <f>$G50*'2026 Labor Alloc %'!AJ50</f>
        <v>0</v>
      </c>
      <c r="AO50" s="278">
        <f>$G50*'2026 Labor Alloc %'!AK50</f>
        <v>0</v>
      </c>
      <c r="AP50" s="278">
        <f>$G50*'2026 Labor Alloc %'!AL50</f>
        <v>0</v>
      </c>
      <c r="AQ50" s="278">
        <f>$G50*'2026 Labor Alloc %'!AM50</f>
        <v>0</v>
      </c>
      <c r="AR50" s="278">
        <f>$G50*'2026 Labor Alloc %'!AN50</f>
        <v>0</v>
      </c>
      <c r="AS50" s="278">
        <f>$G50*'2026 Labor Alloc %'!AO50</f>
        <v>0</v>
      </c>
      <c r="AT50" s="278">
        <f>$G50*'2026 Labor Alloc %'!AP50</f>
        <v>0</v>
      </c>
      <c r="AU50" s="278">
        <f>$G50*'2026 Labor Alloc %'!AQ50</f>
        <v>26002.996543875004</v>
      </c>
      <c r="AV50" s="278">
        <f>$G50*'2026 Labor Alloc %'!AR50</f>
        <v>0</v>
      </c>
      <c r="AW50" s="278">
        <f>$G50*'2026 Labor Alloc %'!AS50</f>
        <v>0</v>
      </c>
      <c r="AX50" s="278">
        <f>$G50*'2026 Labor Alloc %'!AT50</f>
        <v>0</v>
      </c>
      <c r="AY50" s="278">
        <f>$G50*'2026 Labor Alloc %'!AU50</f>
        <v>0</v>
      </c>
      <c r="AZ50" s="278">
        <f t="shared" si="1"/>
        <v>113056.50671250001</v>
      </c>
      <c r="BA50" s="278">
        <f t="shared" si="2"/>
        <v>0</v>
      </c>
      <c r="BD50" s="123"/>
    </row>
    <row r="51" spans="1:56" ht="12.75">
      <c r="A51" s="66">
        <v>231</v>
      </c>
      <c r="B51" s="66" t="str">
        <f>'Comp 25-26'!A47</f>
        <v>Maulorico, Debra J</v>
      </c>
      <c r="C51" s="66"/>
      <c r="D51" s="66" t="str">
        <f>'Comp 25-26'!C47</f>
        <v>Medicaid Waiver QA Specialist</v>
      </c>
      <c r="E51" s="66"/>
      <c r="F51" s="66"/>
      <c r="G51" s="74">
        <f>'Comp 25-26'!T47</f>
        <v>60820.5</v>
      </c>
      <c r="H51" s="278">
        <f>$G51*'2026 Labor Alloc %'!D51</f>
        <v>0</v>
      </c>
      <c r="I51" s="278">
        <f>$G51*'2026 Labor Alloc %'!E51</f>
        <v>0</v>
      </c>
      <c r="J51" s="278">
        <f>$G51*'2026 Labor Alloc %'!F51</f>
        <v>0</v>
      </c>
      <c r="K51" s="278">
        <f>$G51*'2026 Labor Alloc %'!G51</f>
        <v>0</v>
      </c>
      <c r="L51" s="278">
        <f>$G51*'2026 Labor Alloc %'!H51</f>
        <v>0</v>
      </c>
      <c r="M51" s="278">
        <f>$G51*'2026 Labor Alloc %'!I51</f>
        <v>0</v>
      </c>
      <c r="N51" s="278">
        <f>$G51*'2026 Labor Alloc %'!J51</f>
        <v>0</v>
      </c>
      <c r="O51" s="278">
        <f>$G51*'2026 Labor Alloc %'!K51</f>
        <v>0</v>
      </c>
      <c r="P51" s="278">
        <f>$G51*'2026 Labor Alloc %'!L51</f>
        <v>0</v>
      </c>
      <c r="Q51" s="278">
        <f>$G51*'2026 Labor Alloc %'!M51</f>
        <v>0</v>
      </c>
      <c r="R51" s="278">
        <f>$G51*'2026 Labor Alloc %'!N51</f>
        <v>0</v>
      </c>
      <c r="S51" s="278">
        <f>$G51*'2026 Labor Alloc %'!O51</f>
        <v>0</v>
      </c>
      <c r="T51" s="278">
        <f>$G51*'2026 Labor Alloc %'!P51</f>
        <v>0</v>
      </c>
      <c r="U51" s="278">
        <f>$G51*'2026 Labor Alloc %'!Q51</f>
        <v>0</v>
      </c>
      <c r="V51" s="278">
        <f>$G51*'2026 Labor Alloc %'!R51</f>
        <v>0</v>
      </c>
      <c r="W51" s="278">
        <f>$G51*'2026 Labor Alloc %'!S51</f>
        <v>0</v>
      </c>
      <c r="X51" s="278">
        <f>$G51*'2026 Labor Alloc %'!T51</f>
        <v>0</v>
      </c>
      <c r="Y51" s="278">
        <f>$G51*'2026 Labor Alloc %'!U51</f>
        <v>60820.5</v>
      </c>
      <c r="Z51" s="278">
        <f>$G51*'2026 Labor Alloc %'!V51</f>
        <v>0</v>
      </c>
      <c r="AA51" s="278">
        <f>$G51*'2026 Labor Alloc %'!W51</f>
        <v>0</v>
      </c>
      <c r="AB51" s="278">
        <f>$G51*'2026 Labor Alloc %'!X51</f>
        <v>0</v>
      </c>
      <c r="AC51" s="278">
        <f>$G51*'2026 Labor Alloc %'!Y51</f>
        <v>0</v>
      </c>
      <c r="AD51" s="278">
        <f>$G51*'2026 Labor Alloc %'!Z51</f>
        <v>0</v>
      </c>
      <c r="AE51" s="278">
        <f>$G51*'2026 Labor Alloc %'!AA51</f>
        <v>0</v>
      </c>
      <c r="AF51" s="278">
        <f>$G51*'2026 Labor Alloc %'!AB51</f>
        <v>0</v>
      </c>
      <c r="AG51" s="278">
        <f>$G51*'2026 Labor Alloc %'!AC51</f>
        <v>0</v>
      </c>
      <c r="AH51" s="278">
        <f>$G51*'2026 Labor Alloc %'!AD51</f>
        <v>0</v>
      </c>
      <c r="AI51" s="278">
        <f>$G51*'2026 Labor Alloc %'!AE51</f>
        <v>0</v>
      </c>
      <c r="AJ51" s="278">
        <f>$G51*'2026 Labor Alloc %'!AF51</f>
        <v>0</v>
      </c>
      <c r="AK51" s="278">
        <f>$G51*'2026 Labor Alloc %'!AG51</f>
        <v>0</v>
      </c>
      <c r="AL51" s="278">
        <f>$G51*'2026 Labor Alloc %'!AH51</f>
        <v>0</v>
      </c>
      <c r="AM51" s="278">
        <f>$G51*'2026 Labor Alloc %'!AI51</f>
        <v>0</v>
      </c>
      <c r="AN51" s="278">
        <f>$G51*'2026 Labor Alloc %'!AJ51</f>
        <v>0</v>
      </c>
      <c r="AO51" s="278">
        <f>$G51*'2026 Labor Alloc %'!AK51</f>
        <v>0</v>
      </c>
      <c r="AP51" s="278">
        <f>$G51*'2026 Labor Alloc %'!AL51</f>
        <v>0</v>
      </c>
      <c r="AQ51" s="278">
        <f>$G51*'2026 Labor Alloc %'!AM51</f>
        <v>0</v>
      </c>
      <c r="AR51" s="278">
        <f>$G51*'2026 Labor Alloc %'!AN51</f>
        <v>0</v>
      </c>
      <c r="AS51" s="278">
        <f>$G51*'2026 Labor Alloc %'!AO51</f>
        <v>0</v>
      </c>
      <c r="AT51" s="278">
        <f>$G51*'2026 Labor Alloc %'!AP51</f>
        <v>0</v>
      </c>
      <c r="AU51" s="278">
        <f>$G51*'2026 Labor Alloc %'!AQ51</f>
        <v>0</v>
      </c>
      <c r="AV51" s="278">
        <f>$G51*'2026 Labor Alloc %'!AR51</f>
        <v>0</v>
      </c>
      <c r="AW51" s="278">
        <f>$G51*'2026 Labor Alloc %'!AS51</f>
        <v>0</v>
      </c>
      <c r="AX51" s="278">
        <f>$G51*'2026 Labor Alloc %'!AT51</f>
        <v>0</v>
      </c>
      <c r="AY51" s="278">
        <f>$G51*'2026 Labor Alloc %'!AU51</f>
        <v>0</v>
      </c>
      <c r="AZ51" s="278">
        <f t="shared" si="1"/>
        <v>60820.5</v>
      </c>
      <c r="BA51" s="278">
        <f t="shared" si="2"/>
        <v>0</v>
      </c>
      <c r="BD51" s="123"/>
    </row>
    <row r="52" spans="1:56" ht="12.75">
      <c r="A52" s="66">
        <v>232</v>
      </c>
      <c r="B52" s="66" t="str">
        <f>'Comp 25-26'!A48</f>
        <v>Miller, Amanda D</v>
      </c>
      <c r="C52" s="66"/>
      <c r="D52" s="66" t="str">
        <f>'Comp 25-26'!C48</f>
        <v>Intake Specialist</v>
      </c>
      <c r="E52" s="66"/>
      <c r="F52" s="66"/>
      <c r="G52" s="74">
        <f>'Comp 25-26'!T48</f>
        <v>48079.8747</v>
      </c>
      <c r="H52" s="278">
        <f>$G52*'2026 Labor Alloc %'!D52</f>
        <v>0</v>
      </c>
      <c r="I52" s="278">
        <f>$G52*'2026 Labor Alloc %'!E52</f>
        <v>0</v>
      </c>
      <c r="J52" s="278">
        <f>$G52*'2026 Labor Alloc %'!F52</f>
        <v>0</v>
      </c>
      <c r="K52" s="278">
        <f>$G52*'2026 Labor Alloc %'!G52</f>
        <v>0</v>
      </c>
      <c r="L52" s="278">
        <f>$G52*'2026 Labor Alloc %'!H52</f>
        <v>0</v>
      </c>
      <c r="M52" s="278">
        <f>$G52*'2026 Labor Alloc %'!I52</f>
        <v>0</v>
      </c>
      <c r="N52" s="278">
        <f>$G52*'2026 Labor Alloc %'!J52</f>
        <v>0</v>
      </c>
      <c r="O52" s="278">
        <f>$G52*'2026 Labor Alloc %'!K52</f>
        <v>36540.704771999997</v>
      </c>
      <c r="P52" s="278">
        <f>$G52*'2026 Labor Alloc %'!L52</f>
        <v>11539.169927999999</v>
      </c>
      <c r="Q52" s="278">
        <f>$G52*'2026 Labor Alloc %'!M52</f>
        <v>0</v>
      </c>
      <c r="R52" s="278">
        <f>$G52*'2026 Labor Alloc %'!N52</f>
        <v>0</v>
      </c>
      <c r="S52" s="278">
        <f>$G52*'2026 Labor Alloc %'!O52</f>
        <v>0</v>
      </c>
      <c r="T52" s="278">
        <f>$G52*'2026 Labor Alloc %'!P52</f>
        <v>0</v>
      </c>
      <c r="U52" s="278">
        <f>$G52*'2026 Labor Alloc %'!Q52</f>
        <v>0</v>
      </c>
      <c r="V52" s="278">
        <f>$G52*'2026 Labor Alloc %'!R52</f>
        <v>0</v>
      </c>
      <c r="W52" s="278">
        <f>$G52*'2026 Labor Alloc %'!S52</f>
        <v>0</v>
      </c>
      <c r="X52" s="278">
        <f>$G52*'2026 Labor Alloc %'!T52</f>
        <v>0</v>
      </c>
      <c r="Y52" s="278">
        <f>$G52*'2026 Labor Alloc %'!U52</f>
        <v>0</v>
      </c>
      <c r="Z52" s="278">
        <f>$G52*'2026 Labor Alloc %'!V52</f>
        <v>0</v>
      </c>
      <c r="AA52" s="278">
        <f>$G52*'2026 Labor Alloc %'!W52</f>
        <v>0</v>
      </c>
      <c r="AB52" s="278">
        <f>$G52*'2026 Labor Alloc %'!X52</f>
        <v>0</v>
      </c>
      <c r="AC52" s="278">
        <f>$G52*'2026 Labor Alloc %'!Y52</f>
        <v>0</v>
      </c>
      <c r="AD52" s="278">
        <f>$G52*'2026 Labor Alloc %'!Z52</f>
        <v>0</v>
      </c>
      <c r="AE52" s="278">
        <f>$G52*'2026 Labor Alloc %'!AA52</f>
        <v>0</v>
      </c>
      <c r="AF52" s="278">
        <f>$G52*'2026 Labor Alloc %'!AB52</f>
        <v>0</v>
      </c>
      <c r="AG52" s="278">
        <f>$G52*'2026 Labor Alloc %'!AC52</f>
        <v>0</v>
      </c>
      <c r="AH52" s="278">
        <f>$G52*'2026 Labor Alloc %'!AD52</f>
        <v>0</v>
      </c>
      <c r="AI52" s="278">
        <f>$G52*'2026 Labor Alloc %'!AE52</f>
        <v>0</v>
      </c>
      <c r="AJ52" s="278">
        <f>$G52*'2026 Labor Alloc %'!AF52</f>
        <v>0</v>
      </c>
      <c r="AK52" s="278">
        <f>$G52*'2026 Labor Alloc %'!AG52</f>
        <v>0</v>
      </c>
      <c r="AL52" s="278">
        <f>$G52*'2026 Labor Alloc %'!AH52</f>
        <v>0</v>
      </c>
      <c r="AM52" s="278">
        <f>$G52*'2026 Labor Alloc %'!AI52</f>
        <v>0</v>
      </c>
      <c r="AN52" s="278">
        <f>$G52*'2026 Labor Alloc %'!AJ52</f>
        <v>0</v>
      </c>
      <c r="AO52" s="278">
        <f>$G52*'2026 Labor Alloc %'!AK52</f>
        <v>0</v>
      </c>
      <c r="AP52" s="278">
        <f>$G52*'2026 Labor Alloc %'!AL52</f>
        <v>0</v>
      </c>
      <c r="AQ52" s="278">
        <f>$G52*'2026 Labor Alloc %'!AM52</f>
        <v>0</v>
      </c>
      <c r="AR52" s="278">
        <f>$G52*'2026 Labor Alloc %'!AN52</f>
        <v>0</v>
      </c>
      <c r="AS52" s="278">
        <f>$G52*'2026 Labor Alloc %'!AO52</f>
        <v>0</v>
      </c>
      <c r="AT52" s="278">
        <f>$G52*'2026 Labor Alloc %'!AP52</f>
        <v>0</v>
      </c>
      <c r="AU52" s="278">
        <f>$G52*'2026 Labor Alloc %'!AQ52</f>
        <v>0</v>
      </c>
      <c r="AV52" s="278">
        <f>$G52*'2026 Labor Alloc %'!AR52</f>
        <v>0</v>
      </c>
      <c r="AW52" s="278">
        <f>$G52*'2026 Labor Alloc %'!AS52</f>
        <v>0</v>
      </c>
      <c r="AX52" s="278">
        <f>$G52*'2026 Labor Alloc %'!AT52</f>
        <v>0</v>
      </c>
      <c r="AY52" s="278">
        <f>$G52*'2026 Labor Alloc %'!AU52</f>
        <v>0</v>
      </c>
      <c r="AZ52" s="278">
        <f t="shared" si="1"/>
        <v>48079.8747</v>
      </c>
      <c r="BA52" s="278">
        <f t="shared" si="2"/>
        <v>0</v>
      </c>
      <c r="BD52" s="123"/>
    </row>
    <row r="53" spans="1:56" ht="12.75">
      <c r="A53" s="66">
        <v>237</v>
      </c>
      <c r="B53" s="66" t="str">
        <f>'Comp 25-26'!A49</f>
        <v>Nault, Remedios Paclibare</v>
      </c>
      <c r="C53" s="66"/>
      <c r="D53" s="66" t="str">
        <f>'Comp 25-26'!C49</f>
        <v>SMP Program Assistant</v>
      </c>
      <c r="E53" s="66"/>
      <c r="F53" s="66"/>
      <c r="G53" s="74">
        <f>'Comp 25-26'!T49</f>
        <v>42090.126000000004</v>
      </c>
      <c r="H53" s="278">
        <f>$G53*'2026 Labor Alloc %'!D53</f>
        <v>0</v>
      </c>
      <c r="I53" s="278">
        <f>$G53*'2026 Labor Alloc %'!E53</f>
        <v>0</v>
      </c>
      <c r="J53" s="278">
        <f>$G53*'2026 Labor Alloc %'!F53</f>
        <v>0</v>
      </c>
      <c r="K53" s="278">
        <f>$G53*'2026 Labor Alloc %'!G53</f>
        <v>0</v>
      </c>
      <c r="L53" s="278">
        <f>$G53*'2026 Labor Alloc %'!H53</f>
        <v>0</v>
      </c>
      <c r="M53" s="278">
        <f>$G53*'2026 Labor Alloc %'!I53</f>
        <v>0</v>
      </c>
      <c r="N53" s="278">
        <f>$G53*'2026 Labor Alloc %'!J53</f>
        <v>0</v>
      </c>
      <c r="O53" s="278">
        <f>$G53*'2026 Labor Alloc %'!K53</f>
        <v>0</v>
      </c>
      <c r="P53" s="278">
        <f>$G53*'2026 Labor Alloc %'!L53</f>
        <v>0</v>
      </c>
      <c r="Q53" s="278">
        <f>$G53*'2026 Labor Alloc %'!M53</f>
        <v>0</v>
      </c>
      <c r="R53" s="278">
        <f>$G53*'2026 Labor Alloc %'!N53</f>
        <v>0</v>
      </c>
      <c r="S53" s="278">
        <f>$G53*'2026 Labor Alloc %'!O53</f>
        <v>0</v>
      </c>
      <c r="T53" s="278">
        <f>$G53*'2026 Labor Alloc %'!P53</f>
        <v>42090.126000000004</v>
      </c>
      <c r="U53" s="278">
        <f>$G53*'2026 Labor Alloc %'!Q53</f>
        <v>0</v>
      </c>
      <c r="V53" s="278">
        <f>$G53*'2026 Labor Alloc %'!R53</f>
        <v>0</v>
      </c>
      <c r="W53" s="278">
        <f>$G53*'2026 Labor Alloc %'!S53</f>
        <v>0</v>
      </c>
      <c r="X53" s="278">
        <f>$G53*'2026 Labor Alloc %'!T53</f>
        <v>0</v>
      </c>
      <c r="Y53" s="278">
        <f>$G53*'2026 Labor Alloc %'!U53</f>
        <v>0</v>
      </c>
      <c r="Z53" s="278">
        <f>$G53*'2026 Labor Alloc %'!V53</f>
        <v>0</v>
      </c>
      <c r="AA53" s="278">
        <f>$G53*'2026 Labor Alloc %'!W53</f>
        <v>0</v>
      </c>
      <c r="AB53" s="278">
        <f>$G53*'2026 Labor Alloc %'!X53</f>
        <v>0</v>
      </c>
      <c r="AC53" s="278">
        <f>$G53*'2026 Labor Alloc %'!Y53</f>
        <v>0</v>
      </c>
      <c r="AD53" s="278">
        <f>$G53*'2026 Labor Alloc %'!Z53</f>
        <v>0</v>
      </c>
      <c r="AE53" s="278">
        <f>$G53*'2026 Labor Alloc %'!AA53</f>
        <v>0</v>
      </c>
      <c r="AF53" s="278">
        <f>$G53*'2026 Labor Alloc %'!AB53</f>
        <v>0</v>
      </c>
      <c r="AG53" s="278">
        <f>$G53*'2026 Labor Alloc %'!AC53</f>
        <v>0</v>
      </c>
      <c r="AH53" s="278">
        <f>$G53*'2026 Labor Alloc %'!AD53</f>
        <v>0</v>
      </c>
      <c r="AI53" s="278">
        <f>$G53*'2026 Labor Alloc %'!AE53</f>
        <v>0</v>
      </c>
      <c r="AJ53" s="278">
        <f>$G53*'2026 Labor Alloc %'!AF53</f>
        <v>0</v>
      </c>
      <c r="AK53" s="278">
        <f>$G53*'2026 Labor Alloc %'!AG53</f>
        <v>0</v>
      </c>
      <c r="AL53" s="278">
        <f>$G53*'2026 Labor Alloc %'!AH53</f>
        <v>0</v>
      </c>
      <c r="AM53" s="278">
        <f>$G53*'2026 Labor Alloc %'!AI53</f>
        <v>0</v>
      </c>
      <c r="AN53" s="278">
        <f>$G53*'2026 Labor Alloc %'!AJ53</f>
        <v>0</v>
      </c>
      <c r="AO53" s="278">
        <f>$G53*'2026 Labor Alloc %'!AK53</f>
        <v>0</v>
      </c>
      <c r="AP53" s="278">
        <f>$G53*'2026 Labor Alloc %'!AL53</f>
        <v>0</v>
      </c>
      <c r="AQ53" s="278">
        <f>$G53*'2026 Labor Alloc %'!AM53</f>
        <v>0</v>
      </c>
      <c r="AR53" s="278">
        <f>$G53*'2026 Labor Alloc %'!AN53</f>
        <v>0</v>
      </c>
      <c r="AS53" s="278">
        <f>$G53*'2026 Labor Alloc %'!AO53</f>
        <v>0</v>
      </c>
      <c r="AT53" s="278">
        <f>$G53*'2026 Labor Alloc %'!AP53</f>
        <v>0</v>
      </c>
      <c r="AU53" s="278">
        <f>$G53*'2026 Labor Alloc %'!AQ53</f>
        <v>0</v>
      </c>
      <c r="AV53" s="278">
        <f>$G53*'2026 Labor Alloc %'!AR53</f>
        <v>0</v>
      </c>
      <c r="AW53" s="278">
        <f>$G53*'2026 Labor Alloc %'!AS53</f>
        <v>0</v>
      </c>
      <c r="AX53" s="278">
        <f>$G53*'2026 Labor Alloc %'!AT53</f>
        <v>0</v>
      </c>
      <c r="AY53" s="278">
        <f>$G53*'2026 Labor Alloc %'!AU53</f>
        <v>0</v>
      </c>
      <c r="AZ53" s="278">
        <f t="shared" si="1"/>
        <v>42090.126000000004</v>
      </c>
      <c r="BA53" s="278">
        <f t="shared" si="2"/>
        <v>0</v>
      </c>
      <c r="BD53" s="123"/>
    </row>
    <row r="54" spans="1:56" ht="12.75">
      <c r="A54" s="66">
        <v>378</v>
      </c>
      <c r="B54" s="66" t="str">
        <f>'Comp 25-26'!A50</f>
        <v>Newman, Judith</v>
      </c>
      <c r="C54" s="66"/>
      <c r="D54" s="66" t="str">
        <f>'Comp 25-26'!C50</f>
        <v>VA Program Manager</v>
      </c>
      <c r="E54" s="66"/>
      <c r="F54" s="66"/>
      <c r="G54" s="74">
        <f>'Comp 25-26'!T50</f>
        <v>57084.733387500004</v>
      </c>
      <c r="H54" s="278">
        <f>$G54*'2026 Labor Alloc %'!D54</f>
        <v>0</v>
      </c>
      <c r="I54" s="278">
        <f>$G54*'2026 Labor Alloc %'!E54</f>
        <v>0</v>
      </c>
      <c r="J54" s="278">
        <f>$G54*'2026 Labor Alloc %'!F54</f>
        <v>0</v>
      </c>
      <c r="K54" s="278">
        <f>$G54*'2026 Labor Alloc %'!G54</f>
        <v>0</v>
      </c>
      <c r="L54" s="278">
        <f>$G54*'2026 Labor Alloc %'!H54</f>
        <v>0</v>
      </c>
      <c r="M54" s="278">
        <f>$G54*'2026 Labor Alloc %'!I54</f>
        <v>0</v>
      </c>
      <c r="N54" s="278">
        <f>$G54*'2026 Labor Alloc %'!J54</f>
        <v>0</v>
      </c>
      <c r="O54" s="278">
        <f>$G54*'2026 Labor Alloc %'!K54</f>
        <v>0</v>
      </c>
      <c r="P54" s="278">
        <f>$G54*'2026 Labor Alloc %'!L54</f>
        <v>0</v>
      </c>
      <c r="Q54" s="278">
        <f>$G54*'2026 Labor Alloc %'!M54</f>
        <v>0</v>
      </c>
      <c r="R54" s="278">
        <f>$G54*'2026 Labor Alloc %'!N54</f>
        <v>0</v>
      </c>
      <c r="S54" s="278">
        <f>$G54*'2026 Labor Alloc %'!O54</f>
        <v>0</v>
      </c>
      <c r="T54" s="278">
        <f>$G54*'2026 Labor Alloc %'!P54</f>
        <v>0</v>
      </c>
      <c r="U54" s="278">
        <f>$G54*'2026 Labor Alloc %'!Q54</f>
        <v>0</v>
      </c>
      <c r="V54" s="278">
        <f>$G54*'2026 Labor Alloc %'!R54</f>
        <v>0</v>
      </c>
      <c r="W54" s="278">
        <f>$G54*'2026 Labor Alloc %'!S54</f>
        <v>0</v>
      </c>
      <c r="X54" s="278">
        <f>$G54*'2026 Labor Alloc %'!T54</f>
        <v>0</v>
      </c>
      <c r="Y54" s="278">
        <f>$G54*'2026 Labor Alloc %'!U54</f>
        <v>0</v>
      </c>
      <c r="Z54" s="278">
        <f>$G54*'2026 Labor Alloc %'!V54</f>
        <v>0</v>
      </c>
      <c r="AA54" s="278">
        <f>$G54*'2026 Labor Alloc %'!W54</f>
        <v>0</v>
      </c>
      <c r="AB54" s="278">
        <f>$G54*'2026 Labor Alloc %'!X54</f>
        <v>0</v>
      </c>
      <c r="AC54" s="278">
        <f>$G54*'2026 Labor Alloc %'!Y54</f>
        <v>0</v>
      </c>
      <c r="AD54" s="278">
        <f>$G54*'2026 Labor Alloc %'!Z54</f>
        <v>0</v>
      </c>
      <c r="AE54" s="278">
        <f>$G54*'2026 Labor Alloc %'!AA54</f>
        <v>0</v>
      </c>
      <c r="AF54" s="278">
        <f>$G54*'2026 Labor Alloc %'!AB54</f>
        <v>0</v>
      </c>
      <c r="AG54" s="278">
        <f>$G54*'2026 Labor Alloc %'!AC54</f>
        <v>0</v>
      </c>
      <c r="AH54" s="278">
        <f>$G54*'2026 Labor Alloc %'!AD54</f>
        <v>42813.550040625007</v>
      </c>
      <c r="AI54" s="278">
        <f>$G54*'2026 Labor Alloc %'!AE54</f>
        <v>14271.183346875001</v>
      </c>
      <c r="AJ54" s="278">
        <f>$G54*'2026 Labor Alloc %'!AF54</f>
        <v>0</v>
      </c>
      <c r="AK54" s="278">
        <f>$G54*'2026 Labor Alloc %'!AG54</f>
        <v>0</v>
      </c>
      <c r="AL54" s="278">
        <f>$G54*'2026 Labor Alloc %'!AH54</f>
        <v>0</v>
      </c>
      <c r="AM54" s="278">
        <f>$G54*'2026 Labor Alloc %'!AI54</f>
        <v>0</v>
      </c>
      <c r="AN54" s="278">
        <f>$G54*'2026 Labor Alloc %'!AJ54</f>
        <v>0</v>
      </c>
      <c r="AO54" s="278">
        <f>$G54*'2026 Labor Alloc %'!AK54</f>
        <v>0</v>
      </c>
      <c r="AP54" s="278">
        <f>$G54*'2026 Labor Alloc %'!AL54</f>
        <v>0</v>
      </c>
      <c r="AQ54" s="278">
        <f>$G54*'2026 Labor Alloc %'!AM54</f>
        <v>0</v>
      </c>
      <c r="AR54" s="278">
        <f>$G54*'2026 Labor Alloc %'!AN54</f>
        <v>0</v>
      </c>
      <c r="AS54" s="278">
        <f>$G54*'2026 Labor Alloc %'!AO54</f>
        <v>0</v>
      </c>
      <c r="AT54" s="278">
        <f>$G54*'2026 Labor Alloc %'!AP54</f>
        <v>0</v>
      </c>
      <c r="AU54" s="278">
        <f>$G54*'2026 Labor Alloc %'!AQ54</f>
        <v>0</v>
      </c>
      <c r="AV54" s="278">
        <f>$G54*'2026 Labor Alloc %'!AR54</f>
        <v>0</v>
      </c>
      <c r="AW54" s="278">
        <f>$G54*'2026 Labor Alloc %'!AS54</f>
        <v>0</v>
      </c>
      <c r="AX54" s="278">
        <f>$G54*'2026 Labor Alloc %'!AT54</f>
        <v>0</v>
      </c>
      <c r="AY54" s="278">
        <f>$G54*'2026 Labor Alloc %'!AU54</f>
        <v>0</v>
      </c>
      <c r="AZ54" s="278">
        <f t="shared" si="1"/>
        <v>57084.733387500004</v>
      </c>
      <c r="BA54" s="278">
        <f t="shared" si="2"/>
        <v>0</v>
      </c>
      <c r="BD54" s="123"/>
    </row>
    <row r="55" spans="1:56" ht="12.75">
      <c r="A55" s="66">
        <v>242</v>
      </c>
      <c r="B55" s="66" t="str">
        <f>'Comp 25-26'!A51</f>
        <v>Kathryn Bursch</v>
      </c>
      <c r="C55" s="66"/>
      <c r="D55" s="66" t="str">
        <f>'Comp 25-26'!C51</f>
        <v xml:space="preserve">Outreach Manager </v>
      </c>
      <c r="E55" s="66"/>
      <c r="F55" s="66"/>
      <c r="G55" s="74">
        <f>'Comp 25-26'!T51</f>
        <v>58116.750899999999</v>
      </c>
      <c r="H55" s="278">
        <f>$G55*'2026 Labor Alloc %'!D55</f>
        <v>0</v>
      </c>
      <c r="I55" s="278">
        <f>$G55*'2026 Labor Alloc %'!E55</f>
        <v>0</v>
      </c>
      <c r="J55" s="278">
        <f>$G55*'2026 Labor Alloc %'!F55</f>
        <v>0</v>
      </c>
      <c r="K55" s="278">
        <f>$G55*'2026 Labor Alloc %'!G55</f>
        <v>0</v>
      </c>
      <c r="L55" s="278">
        <f>$G55*'2026 Labor Alloc %'!H55</f>
        <v>28477.207941000001</v>
      </c>
      <c r="M55" s="278">
        <f>$G55*'2026 Labor Alloc %'!I55</f>
        <v>0</v>
      </c>
      <c r="N55" s="278">
        <f>$G55*'2026 Labor Alloc %'!J55</f>
        <v>0</v>
      </c>
      <c r="O55" s="278">
        <f>$G55*'2026 Labor Alloc %'!K55</f>
        <v>0</v>
      </c>
      <c r="P55" s="278">
        <f>$G55*'2026 Labor Alloc %'!L55</f>
        <v>0</v>
      </c>
      <c r="Q55" s="278">
        <f>$G55*'2026 Labor Alloc %'!M55</f>
        <v>0</v>
      </c>
      <c r="R55" s="278">
        <f>$G55*'2026 Labor Alloc %'!N55</f>
        <v>0</v>
      </c>
      <c r="S55" s="278">
        <f>$G55*'2026 Labor Alloc %'!O55</f>
        <v>0</v>
      </c>
      <c r="T55" s="278">
        <f>$G55*'2026 Labor Alloc %'!P55</f>
        <v>0</v>
      </c>
      <c r="U55" s="278">
        <f>$G55*'2026 Labor Alloc %'!Q55</f>
        <v>13366.852707</v>
      </c>
      <c r="V55" s="278">
        <f>$G55*'2026 Labor Alloc %'!R55</f>
        <v>0</v>
      </c>
      <c r="W55" s="278">
        <f>$G55*'2026 Labor Alloc %'!S55</f>
        <v>0</v>
      </c>
      <c r="X55" s="278">
        <f>$G55*'2026 Labor Alloc %'!T55</f>
        <v>0</v>
      </c>
      <c r="Y55" s="278">
        <f>$G55*'2026 Labor Alloc %'!U55</f>
        <v>0</v>
      </c>
      <c r="Z55" s="278">
        <f>$G55*'2026 Labor Alloc %'!V55</f>
        <v>0</v>
      </c>
      <c r="AA55" s="278">
        <f>$G55*'2026 Labor Alloc %'!W55</f>
        <v>0</v>
      </c>
      <c r="AB55" s="278">
        <f>$G55*'2026 Labor Alloc %'!X55</f>
        <v>0</v>
      </c>
      <c r="AC55" s="278">
        <f>$G55*'2026 Labor Alloc %'!Y55</f>
        <v>0</v>
      </c>
      <c r="AD55" s="278">
        <f>$G55*'2026 Labor Alloc %'!Z55</f>
        <v>0</v>
      </c>
      <c r="AE55" s="278">
        <f>$G55*'2026 Labor Alloc %'!AA55</f>
        <v>6392.8425989999996</v>
      </c>
      <c r="AF55" s="278">
        <f>$G55*'2026 Labor Alloc %'!AB55</f>
        <v>6392.8425989999996</v>
      </c>
      <c r="AG55" s="278">
        <f>$G55*'2026 Labor Alloc %'!AC55</f>
        <v>3487.0050539999997</v>
      </c>
      <c r="AH55" s="278">
        <f>$G55*'2026 Labor Alloc %'!AD55</f>
        <v>0</v>
      </c>
      <c r="AI55" s="278">
        <f>$G55*'2026 Labor Alloc %'!AE55</f>
        <v>0</v>
      </c>
      <c r="AJ55" s="278">
        <f>$G55*'2026 Labor Alloc %'!AF55</f>
        <v>0</v>
      </c>
      <c r="AK55" s="278">
        <f>$G55*'2026 Labor Alloc %'!AG55</f>
        <v>0</v>
      </c>
      <c r="AL55" s="278">
        <f>$G55*'2026 Labor Alloc %'!AH55</f>
        <v>0</v>
      </c>
      <c r="AM55" s="278">
        <f>$G55*'2026 Labor Alloc %'!AI55</f>
        <v>0</v>
      </c>
      <c r="AN55" s="278">
        <f>$G55*'2026 Labor Alloc %'!AJ55</f>
        <v>0</v>
      </c>
      <c r="AO55" s="278">
        <f>$G55*'2026 Labor Alloc %'!AK55</f>
        <v>0</v>
      </c>
      <c r="AP55" s="278">
        <f>$G55*'2026 Labor Alloc %'!AL55</f>
        <v>0</v>
      </c>
      <c r="AQ55" s="278">
        <f>$G55*'2026 Labor Alloc %'!AM55</f>
        <v>0</v>
      </c>
      <c r="AR55" s="278">
        <f>$G55*'2026 Labor Alloc %'!AN55</f>
        <v>0</v>
      </c>
      <c r="AS55" s="278">
        <f>$G55*'2026 Labor Alloc %'!AO55</f>
        <v>0</v>
      </c>
      <c r="AT55" s="278">
        <f>$G55*'2026 Labor Alloc %'!AP55</f>
        <v>0</v>
      </c>
      <c r="AU55" s="278">
        <f>$G55*'2026 Labor Alloc %'!AQ55</f>
        <v>0</v>
      </c>
      <c r="AV55" s="278">
        <f>$G55*'2026 Labor Alloc %'!AR55</f>
        <v>0</v>
      </c>
      <c r="AW55" s="278">
        <f>$G55*'2026 Labor Alloc %'!AS55</f>
        <v>0</v>
      </c>
      <c r="AX55" s="278">
        <f>$G55*'2026 Labor Alloc %'!AT55</f>
        <v>0</v>
      </c>
      <c r="AY55" s="278">
        <f>$G55*'2026 Labor Alloc %'!AU55</f>
        <v>0</v>
      </c>
      <c r="AZ55" s="278">
        <f t="shared" si="1"/>
        <v>58116.750899999992</v>
      </c>
      <c r="BA55" s="278">
        <f t="shared" si="2"/>
        <v>0</v>
      </c>
      <c r="BD55" s="123"/>
    </row>
    <row r="56" spans="1:56" ht="12.75">
      <c r="A56" s="66"/>
      <c r="B56" s="66" t="str">
        <f>'Comp 25-26'!A52</f>
        <v>O'Neil McKenna</v>
      </c>
      <c r="C56" s="66"/>
      <c r="D56" s="66" t="str">
        <f>'Comp 25-26'!C52</f>
        <v>Director of Strategic Advancement</v>
      </c>
      <c r="E56" s="66"/>
      <c r="F56" s="66"/>
      <c r="G56" s="74">
        <f>'Comp 25-26'!T52</f>
        <v>91856.303824999995</v>
      </c>
      <c r="H56" s="278">
        <f>$G56*'2026 Labor Alloc %'!D56</f>
        <v>0</v>
      </c>
      <c r="I56" s="278">
        <f>$G56*'2026 Labor Alloc %'!E56</f>
        <v>0</v>
      </c>
      <c r="J56" s="278">
        <f>$G56*'2026 Labor Alloc %'!F56</f>
        <v>0</v>
      </c>
      <c r="K56" s="278">
        <f>$G56*'2026 Labor Alloc %'!G56</f>
        <v>0</v>
      </c>
      <c r="L56" s="278">
        <f>$G56*'2026 Labor Alloc %'!H56</f>
        <v>0</v>
      </c>
      <c r="M56" s="278">
        <f>$G56*'2026 Labor Alloc %'!I56</f>
        <v>0</v>
      </c>
      <c r="N56" s="278">
        <f>$G56*'2026 Labor Alloc %'!J56</f>
        <v>0</v>
      </c>
      <c r="O56" s="278">
        <f>$G56*'2026 Labor Alloc %'!K56</f>
        <v>0</v>
      </c>
      <c r="P56" s="278">
        <f>$G56*'2026 Labor Alloc %'!L56</f>
        <v>0</v>
      </c>
      <c r="Q56" s="278">
        <f>$G56*'2026 Labor Alloc %'!M56</f>
        <v>0</v>
      </c>
      <c r="R56" s="278">
        <f>$G56*'2026 Labor Alloc %'!N56</f>
        <v>0</v>
      </c>
      <c r="S56" s="278">
        <f>$G56*'2026 Labor Alloc %'!O56</f>
        <v>0</v>
      </c>
      <c r="T56" s="278">
        <f>$G56*'2026 Labor Alloc %'!P56</f>
        <v>0</v>
      </c>
      <c r="U56" s="278">
        <f>$G56*'2026 Labor Alloc %'!Q56</f>
        <v>0</v>
      </c>
      <c r="V56" s="278">
        <f>$G56*'2026 Labor Alloc %'!R56</f>
        <v>0</v>
      </c>
      <c r="W56" s="278">
        <f>$G56*'2026 Labor Alloc %'!S56</f>
        <v>0</v>
      </c>
      <c r="X56" s="278">
        <f>$G56*'2026 Labor Alloc %'!T56</f>
        <v>0</v>
      </c>
      <c r="Y56" s="278">
        <f>$G56*'2026 Labor Alloc %'!U56</f>
        <v>0</v>
      </c>
      <c r="Z56" s="278">
        <f>$G56*'2026 Labor Alloc %'!V56</f>
        <v>0</v>
      </c>
      <c r="AA56" s="278">
        <f>$G56*'2026 Labor Alloc %'!W56</f>
        <v>0</v>
      </c>
      <c r="AB56" s="278">
        <f>$G56*'2026 Labor Alloc %'!X56</f>
        <v>0</v>
      </c>
      <c r="AC56" s="278">
        <f>$G56*'2026 Labor Alloc %'!Y56</f>
        <v>0</v>
      </c>
      <c r="AD56" s="278">
        <f>$G56*'2026 Labor Alloc %'!Z56</f>
        <v>0</v>
      </c>
      <c r="AE56" s="278">
        <f>$G56*'2026 Labor Alloc %'!AA56</f>
        <v>0</v>
      </c>
      <c r="AF56" s="278">
        <f>$G56*'2026 Labor Alloc %'!AB56</f>
        <v>0</v>
      </c>
      <c r="AG56" s="278">
        <f>$G56*'2026 Labor Alloc %'!AC56</f>
        <v>0</v>
      </c>
      <c r="AH56" s="278">
        <f>$G56*'2026 Labor Alloc %'!AD56</f>
        <v>0</v>
      </c>
      <c r="AI56" s="278">
        <f>$G56*'2026 Labor Alloc %'!AE56</f>
        <v>0</v>
      </c>
      <c r="AJ56" s="278">
        <f>$G56*'2026 Labor Alloc %'!AF56</f>
        <v>0</v>
      </c>
      <c r="AK56" s="278">
        <f>$G56*'2026 Labor Alloc %'!AG56</f>
        <v>0</v>
      </c>
      <c r="AL56" s="278">
        <f>$G56*'2026 Labor Alloc %'!AH56</f>
        <v>0</v>
      </c>
      <c r="AM56" s="278">
        <f>$G56*'2026 Labor Alloc %'!AI56</f>
        <v>0</v>
      </c>
      <c r="AN56" s="278">
        <f>$G56*'2026 Labor Alloc %'!AJ56</f>
        <v>0</v>
      </c>
      <c r="AO56" s="278">
        <f>$G56*'2026 Labor Alloc %'!AK56</f>
        <v>0</v>
      </c>
      <c r="AP56" s="278">
        <f>$G56*'2026 Labor Alloc %'!AL56</f>
        <v>0</v>
      </c>
      <c r="AQ56" s="278">
        <f>$G56*'2026 Labor Alloc %'!AM56</f>
        <v>0</v>
      </c>
      <c r="AR56" s="278">
        <f>$G56*'2026 Labor Alloc %'!AN56</f>
        <v>0</v>
      </c>
      <c r="AS56" s="278">
        <f>$G56*'2026 Labor Alloc %'!AO56</f>
        <v>0</v>
      </c>
      <c r="AT56" s="278">
        <f>$G56*'2026 Labor Alloc %'!AP56</f>
        <v>0</v>
      </c>
      <c r="AU56" s="278">
        <f>$G56*'2026 Labor Alloc %'!AQ56</f>
        <v>0</v>
      </c>
      <c r="AV56" s="278">
        <f>$G56*'2026 Labor Alloc %'!AR56</f>
        <v>91856.303824999995</v>
      </c>
      <c r="AW56" s="278">
        <f>$G56*'2026 Labor Alloc %'!AS56</f>
        <v>0</v>
      </c>
      <c r="AX56" s="278">
        <f>$G56*'2026 Labor Alloc %'!AT56</f>
        <v>0</v>
      </c>
      <c r="AY56" s="278">
        <f>$G56*'2026 Labor Alloc %'!AU56</f>
        <v>0</v>
      </c>
      <c r="AZ56" s="278">
        <f t="shared" si="1"/>
        <v>91856.303824999995</v>
      </c>
      <c r="BA56" s="278">
        <f t="shared" si="2"/>
        <v>0</v>
      </c>
      <c r="BD56" s="123"/>
    </row>
    <row r="57" spans="1:56" ht="12.75">
      <c r="A57" s="66">
        <v>370</v>
      </c>
      <c r="B57" s="66" t="str">
        <f>'Comp 25-26'!A53</f>
        <v>Oros, Eva</v>
      </c>
      <c r="C57" s="277"/>
      <c r="D57" s="66" t="str">
        <f>'Comp 25-26'!C53</f>
        <v>Mental Health Counselor</v>
      </c>
      <c r="E57" s="66"/>
      <c r="F57" s="66"/>
      <c r="G57" s="74">
        <f>'Comp 25-26'!T53</f>
        <v>14742.336439999999</v>
      </c>
      <c r="H57" s="278">
        <f>$G57*'2026 Labor Alloc %'!D57</f>
        <v>0</v>
      </c>
      <c r="I57" s="278">
        <f>$G57*'2026 Labor Alloc %'!E57</f>
        <v>0</v>
      </c>
      <c r="J57" s="278">
        <f>$G57*'2026 Labor Alloc %'!F57</f>
        <v>14742.336439999999</v>
      </c>
      <c r="K57" s="278">
        <f>$G57*'2026 Labor Alloc %'!G57</f>
        <v>0</v>
      </c>
      <c r="L57" s="278">
        <f>$G57*'2026 Labor Alloc %'!H56</f>
        <v>0</v>
      </c>
      <c r="M57" s="278">
        <f>$G57*'2026 Labor Alloc %'!I57</f>
        <v>0</v>
      </c>
      <c r="N57" s="278">
        <f>$G57*'2026 Labor Alloc %'!J57</f>
        <v>0</v>
      </c>
      <c r="O57" s="278">
        <f>$G57*'2026 Labor Alloc %'!K57</f>
        <v>0</v>
      </c>
      <c r="P57" s="278">
        <f>$G57*'2026 Labor Alloc %'!L57</f>
        <v>0</v>
      </c>
      <c r="Q57" s="278">
        <f>$G57*'2026 Labor Alloc %'!M57</f>
        <v>0</v>
      </c>
      <c r="R57" s="278">
        <f>$G57*'2026 Labor Alloc %'!N57</f>
        <v>0</v>
      </c>
      <c r="S57" s="278">
        <f>$G57*'2026 Labor Alloc %'!O57</f>
        <v>0</v>
      </c>
      <c r="T57" s="278">
        <f>$G57*'2026 Labor Alloc %'!P57</f>
        <v>0</v>
      </c>
      <c r="U57" s="278">
        <f>$G57*'2026 Labor Alloc %'!Q57</f>
        <v>0</v>
      </c>
      <c r="V57" s="278">
        <f>$G57*'2026 Labor Alloc %'!R57</f>
        <v>0</v>
      </c>
      <c r="W57" s="278">
        <f>$G57*'2026 Labor Alloc %'!S57</f>
        <v>0</v>
      </c>
      <c r="X57" s="278">
        <f>$G57*'2026 Labor Alloc %'!T57</f>
        <v>0</v>
      </c>
      <c r="Y57" s="278">
        <f>$G57*'2026 Labor Alloc %'!U57</f>
        <v>0</v>
      </c>
      <c r="Z57" s="278">
        <f>$G57*'2026 Labor Alloc %'!V57</f>
        <v>0</v>
      </c>
      <c r="AA57" s="278">
        <f>$G57*'2026 Labor Alloc %'!W57</f>
        <v>0</v>
      </c>
      <c r="AB57" s="278">
        <f>$G57*'2026 Labor Alloc %'!X57</f>
        <v>0</v>
      </c>
      <c r="AC57" s="278">
        <f>$G57*'2026 Labor Alloc %'!Y57</f>
        <v>0</v>
      </c>
      <c r="AD57" s="278">
        <f>$G57*'2026 Labor Alloc %'!Z57</f>
        <v>0</v>
      </c>
      <c r="AE57" s="278">
        <f>$G57*'2026 Labor Alloc %'!AA57</f>
        <v>0</v>
      </c>
      <c r="AF57" s="278">
        <f>$G57*'2026 Labor Alloc %'!AB57</f>
        <v>0</v>
      </c>
      <c r="AG57" s="278">
        <f>$G57*'2026 Labor Alloc %'!AC57</f>
        <v>0</v>
      </c>
      <c r="AH57" s="278">
        <f>$G57*'2026 Labor Alloc %'!AD57</f>
        <v>0</v>
      </c>
      <c r="AI57" s="278">
        <f>$G57*'2026 Labor Alloc %'!AE57</f>
        <v>0</v>
      </c>
      <c r="AJ57" s="278">
        <f>$G57*'2026 Labor Alloc %'!AF57</f>
        <v>0</v>
      </c>
      <c r="AK57" s="278">
        <f>$G57*'2026 Labor Alloc %'!AG57</f>
        <v>0</v>
      </c>
      <c r="AL57" s="278">
        <f>$G57*'2026 Labor Alloc %'!AH57</f>
        <v>0</v>
      </c>
      <c r="AM57" s="278">
        <f>$G57*'2026 Labor Alloc %'!AI57</f>
        <v>0</v>
      </c>
      <c r="AN57" s="278">
        <f>$G57*'2026 Labor Alloc %'!AJ57</f>
        <v>0</v>
      </c>
      <c r="AO57" s="278">
        <f>$G57*'2026 Labor Alloc %'!AK57</f>
        <v>0</v>
      </c>
      <c r="AP57" s="278">
        <f>$G57*'2026 Labor Alloc %'!AL57</f>
        <v>0</v>
      </c>
      <c r="AQ57" s="278">
        <f>$G57*'2026 Labor Alloc %'!AM57</f>
        <v>0</v>
      </c>
      <c r="AR57" s="278">
        <f>$G57*'2026 Labor Alloc %'!AN57</f>
        <v>0</v>
      </c>
      <c r="AS57" s="278">
        <f>$G57*'2026 Labor Alloc %'!AO57</f>
        <v>0</v>
      </c>
      <c r="AT57" s="278">
        <f>$G57*'2026 Labor Alloc %'!AP57</f>
        <v>0</v>
      </c>
      <c r="AU57" s="278">
        <f>$G57*'2026 Labor Alloc %'!AQ57</f>
        <v>0</v>
      </c>
      <c r="AV57" s="278">
        <f>$G57*'2026 Labor Alloc %'!AR57</f>
        <v>0</v>
      </c>
      <c r="AW57" s="278">
        <f>$G57*'2026 Labor Alloc %'!AS57</f>
        <v>0</v>
      </c>
      <c r="AX57" s="278">
        <f>$G57*'2026 Labor Alloc %'!AT57</f>
        <v>0</v>
      </c>
      <c r="AY57" s="278">
        <f>$G57*'2026 Labor Alloc %'!AU57</f>
        <v>0</v>
      </c>
      <c r="AZ57" s="278">
        <f t="shared" si="1"/>
        <v>14742.336439999999</v>
      </c>
      <c r="BA57" s="278">
        <f t="shared" si="2"/>
        <v>0</v>
      </c>
      <c r="BD57" s="123"/>
    </row>
    <row r="58" spans="1:56" ht="12.75">
      <c r="A58" s="66">
        <v>244</v>
      </c>
      <c r="B58" s="66" t="str">
        <f>'Comp 25-26'!A54</f>
        <v>Owens, Shavonne</v>
      </c>
      <c r="C58" s="66"/>
      <c r="D58" s="66" t="str">
        <f>'Comp 25-26'!C54</f>
        <v>Information &amp; Assistance Specialist</v>
      </c>
      <c r="E58" s="66"/>
      <c r="F58" s="66"/>
      <c r="G58" s="74">
        <f>'Comp 25-26'!T54</f>
        <v>45165.942900000002</v>
      </c>
      <c r="H58" s="278">
        <f>$G58*'2026 Labor Alloc %'!D58</f>
        <v>0</v>
      </c>
      <c r="I58" s="278">
        <f>$G58*'2026 Labor Alloc %'!E58</f>
        <v>26196.246881999999</v>
      </c>
      <c r="J58" s="278">
        <f>$G58*'2026 Labor Alloc %'!F58</f>
        <v>0</v>
      </c>
      <c r="K58" s="278">
        <f>$G58*'2026 Labor Alloc %'!G58</f>
        <v>0</v>
      </c>
      <c r="L58" s="278">
        <f>$G58*'2026 Labor Alloc %'!H58</f>
        <v>0</v>
      </c>
      <c r="M58" s="278">
        <f>$G58*'2026 Labor Alloc %'!I58</f>
        <v>0</v>
      </c>
      <c r="N58" s="278">
        <f>$G58*'2026 Labor Alloc %'!J58</f>
        <v>0</v>
      </c>
      <c r="O58" s="278">
        <f>$G58*'2026 Labor Alloc %'!K58</f>
        <v>0</v>
      </c>
      <c r="P58" s="278">
        <f>$G58*'2026 Labor Alloc %'!L58</f>
        <v>0</v>
      </c>
      <c r="Q58" s="278">
        <f>$G58*'2026 Labor Alloc %'!M58</f>
        <v>0</v>
      </c>
      <c r="R58" s="278">
        <f>$G58*'2026 Labor Alloc %'!N58</f>
        <v>0</v>
      </c>
      <c r="S58" s="278">
        <f>$G58*'2026 Labor Alloc %'!O58</f>
        <v>0</v>
      </c>
      <c r="T58" s="278">
        <f>$G58*'2026 Labor Alloc %'!P58</f>
        <v>0</v>
      </c>
      <c r="U58" s="278">
        <f>$G58*'2026 Labor Alloc %'!Q58</f>
        <v>0</v>
      </c>
      <c r="V58" s="278">
        <f>$G58*'2026 Labor Alloc %'!R58</f>
        <v>0</v>
      </c>
      <c r="W58" s="278">
        <f>$G58*'2026 Labor Alloc %'!S58</f>
        <v>0</v>
      </c>
      <c r="X58" s="278">
        <f>$G58*'2026 Labor Alloc %'!T58</f>
        <v>0</v>
      </c>
      <c r="Y58" s="278">
        <f>$G58*'2026 Labor Alloc %'!U58</f>
        <v>0</v>
      </c>
      <c r="Z58" s="278">
        <f>$G58*'2026 Labor Alloc %'!V58</f>
        <v>0</v>
      </c>
      <c r="AA58" s="278">
        <f>$G58*'2026 Labor Alloc %'!W58</f>
        <v>0</v>
      </c>
      <c r="AB58" s="278">
        <f>$G58*'2026 Labor Alloc %'!X58</f>
        <v>0</v>
      </c>
      <c r="AC58" s="278">
        <f>$G58*'2026 Labor Alloc %'!Y58</f>
        <v>0</v>
      </c>
      <c r="AD58" s="278">
        <f>$G58*'2026 Labor Alloc %'!Z58</f>
        <v>0</v>
      </c>
      <c r="AE58" s="278">
        <f>$G58*'2026 Labor Alloc %'!AA58</f>
        <v>0</v>
      </c>
      <c r="AF58" s="278">
        <f>$G58*'2026 Labor Alloc %'!AB58</f>
        <v>0</v>
      </c>
      <c r="AG58" s="278">
        <f>$G58*'2026 Labor Alloc %'!AC58</f>
        <v>0</v>
      </c>
      <c r="AH58" s="278">
        <f>$G58*'2026 Labor Alloc %'!AD58</f>
        <v>0</v>
      </c>
      <c r="AI58" s="278">
        <f>$G58*'2026 Labor Alloc %'!AE58</f>
        <v>0</v>
      </c>
      <c r="AJ58" s="278">
        <f>$G58*'2026 Labor Alloc %'!AF58</f>
        <v>0</v>
      </c>
      <c r="AK58" s="278">
        <f>$G58*'2026 Labor Alloc %'!AG58</f>
        <v>0</v>
      </c>
      <c r="AL58" s="278">
        <f>$G58*'2026 Labor Alloc %'!AH58</f>
        <v>0</v>
      </c>
      <c r="AM58" s="278">
        <f>$G58*'2026 Labor Alloc %'!AI58</f>
        <v>0</v>
      </c>
      <c r="AN58" s="278">
        <f>$G58*'2026 Labor Alloc %'!AJ58</f>
        <v>0</v>
      </c>
      <c r="AO58" s="278">
        <f>$G58*'2026 Labor Alloc %'!AK58</f>
        <v>0</v>
      </c>
      <c r="AP58" s="278">
        <f>$G58*'2026 Labor Alloc %'!AL58</f>
        <v>0</v>
      </c>
      <c r="AQ58" s="278">
        <f>$G58*'2026 Labor Alloc %'!AM58</f>
        <v>0</v>
      </c>
      <c r="AR58" s="278">
        <f>$G58*'2026 Labor Alloc %'!AN58</f>
        <v>0</v>
      </c>
      <c r="AS58" s="278">
        <f>$G58*'2026 Labor Alloc %'!AO58</f>
        <v>0</v>
      </c>
      <c r="AT58" s="278">
        <f>$G58*'2026 Labor Alloc %'!AP58</f>
        <v>0</v>
      </c>
      <c r="AU58" s="278">
        <f>$G58*'2026 Labor Alloc %'!AQ58</f>
        <v>18969.696017999999</v>
      </c>
      <c r="AV58" s="278">
        <f>$G58*'2026 Labor Alloc %'!AR58</f>
        <v>0</v>
      </c>
      <c r="AW58" s="278">
        <f>$G58*'2026 Labor Alloc %'!AS58</f>
        <v>0</v>
      </c>
      <c r="AX58" s="278">
        <f>$G58*'2026 Labor Alloc %'!AT58</f>
        <v>0</v>
      </c>
      <c r="AY58" s="278">
        <f>$G58*'2026 Labor Alloc %'!AU58</f>
        <v>0</v>
      </c>
      <c r="AZ58" s="278">
        <f t="shared" si="1"/>
        <v>45165.942899999995</v>
      </c>
      <c r="BA58" s="278">
        <f t="shared" si="2"/>
        <v>0</v>
      </c>
      <c r="BD58" s="123"/>
    </row>
    <row r="59" spans="1:56" ht="12.75">
      <c r="A59" s="66">
        <v>246</v>
      </c>
      <c r="B59" s="66" t="str">
        <f>'Comp 25-26'!A55</f>
        <v>Dangerfield, Shea</v>
      </c>
      <c r="C59" s="66"/>
      <c r="D59" s="66" t="str">
        <f>'Comp 25-26'!C55</f>
        <v>VA Case Manager</v>
      </c>
      <c r="E59" s="66"/>
      <c r="F59" s="66"/>
      <c r="G59" s="74">
        <f>'Comp 25-26'!T55</f>
        <v>49115.625</v>
      </c>
      <c r="H59" s="278">
        <f>$G59*'2026 Labor Alloc %'!D59</f>
        <v>0</v>
      </c>
      <c r="I59" s="278">
        <f>$G59*'2026 Labor Alloc %'!E59</f>
        <v>0</v>
      </c>
      <c r="J59" s="278">
        <f>$G59*'2026 Labor Alloc %'!F59</f>
        <v>0</v>
      </c>
      <c r="K59" s="278">
        <f>$G59*'2026 Labor Alloc %'!G59</f>
        <v>0</v>
      </c>
      <c r="L59" s="278">
        <f>$G59*'2026 Labor Alloc %'!H59</f>
        <v>0</v>
      </c>
      <c r="M59" s="278">
        <f>$G59*'2026 Labor Alloc %'!I59</f>
        <v>0</v>
      </c>
      <c r="N59" s="278">
        <f>$G59*'2026 Labor Alloc %'!J59</f>
        <v>0</v>
      </c>
      <c r="O59" s="278">
        <f>$G59*'2026 Labor Alloc %'!K59</f>
        <v>0</v>
      </c>
      <c r="P59" s="278">
        <f>$G59*'2026 Labor Alloc %'!L59</f>
        <v>0</v>
      </c>
      <c r="Q59" s="278">
        <f>$G59*'2026 Labor Alloc %'!M59</f>
        <v>0</v>
      </c>
      <c r="R59" s="278">
        <f>$G59*'2026 Labor Alloc %'!N59</f>
        <v>0</v>
      </c>
      <c r="S59" s="278">
        <f>$G59*'2026 Labor Alloc %'!O59</f>
        <v>0</v>
      </c>
      <c r="T59" s="278">
        <f>$G59*'2026 Labor Alloc %'!P59</f>
        <v>0</v>
      </c>
      <c r="U59" s="278">
        <f>$G59*'2026 Labor Alloc %'!Q59</f>
        <v>0</v>
      </c>
      <c r="V59" s="278">
        <f>$G59*'2026 Labor Alloc %'!R59</f>
        <v>0</v>
      </c>
      <c r="W59" s="278">
        <f>$G59*'2026 Labor Alloc %'!S59</f>
        <v>0</v>
      </c>
      <c r="X59" s="278">
        <f>$G59*'2026 Labor Alloc %'!T59</f>
        <v>0</v>
      </c>
      <c r="Y59" s="278">
        <f>$G59*'2026 Labor Alloc %'!U59</f>
        <v>0</v>
      </c>
      <c r="Z59" s="278">
        <f>$G59*'2026 Labor Alloc %'!V59</f>
        <v>0</v>
      </c>
      <c r="AA59" s="278">
        <f>$G59*'2026 Labor Alloc %'!W59</f>
        <v>0</v>
      </c>
      <c r="AB59" s="278">
        <f>$G59*'2026 Labor Alloc %'!X59</f>
        <v>0</v>
      </c>
      <c r="AC59" s="278">
        <f>$G59*'2026 Labor Alloc %'!Y59</f>
        <v>0</v>
      </c>
      <c r="AD59" s="278">
        <f>$G59*'2026 Labor Alloc %'!Z59</f>
        <v>0</v>
      </c>
      <c r="AE59" s="278">
        <f>$G59*'2026 Labor Alloc %'!AA59</f>
        <v>0</v>
      </c>
      <c r="AF59" s="278">
        <f>$G59*'2026 Labor Alloc %'!AB59</f>
        <v>0</v>
      </c>
      <c r="AG59" s="278">
        <f>$G59*'2026 Labor Alloc %'!AC59</f>
        <v>0</v>
      </c>
      <c r="AH59" s="278">
        <f>$G59*'2026 Labor Alloc %'!AD59</f>
        <v>36836.71875</v>
      </c>
      <c r="AI59" s="278">
        <f>$G59*'2026 Labor Alloc %'!AE59</f>
        <v>12278.90625</v>
      </c>
      <c r="AJ59" s="278">
        <f>$G59*'2026 Labor Alloc %'!AF59</f>
        <v>0</v>
      </c>
      <c r="AK59" s="278">
        <f>$G59*'2026 Labor Alloc %'!AG59</f>
        <v>0</v>
      </c>
      <c r="AL59" s="278">
        <f>$G59*'2026 Labor Alloc %'!AH59</f>
        <v>0</v>
      </c>
      <c r="AM59" s="278">
        <f>$G59*'2026 Labor Alloc %'!AI59</f>
        <v>0</v>
      </c>
      <c r="AN59" s="278">
        <f>$G59*'2026 Labor Alloc %'!AJ59</f>
        <v>0</v>
      </c>
      <c r="AO59" s="278">
        <f>$G59*'2026 Labor Alloc %'!AK59</f>
        <v>0</v>
      </c>
      <c r="AP59" s="278">
        <f>$G59*'2026 Labor Alloc %'!AL59</f>
        <v>0</v>
      </c>
      <c r="AQ59" s="278">
        <f>$G59*'2026 Labor Alloc %'!AM59</f>
        <v>0</v>
      </c>
      <c r="AR59" s="278">
        <f>$G59*'2026 Labor Alloc %'!AN59</f>
        <v>0</v>
      </c>
      <c r="AS59" s="278">
        <f>$G59*'2026 Labor Alloc %'!AO59</f>
        <v>0</v>
      </c>
      <c r="AT59" s="278">
        <f>$G59*'2026 Labor Alloc %'!AP59</f>
        <v>0</v>
      </c>
      <c r="AU59" s="278">
        <f>$G59*'2026 Labor Alloc %'!AQ59</f>
        <v>0</v>
      </c>
      <c r="AV59" s="278">
        <f>$G59*'2026 Labor Alloc %'!AR59</f>
        <v>0</v>
      </c>
      <c r="AW59" s="278">
        <f>$G59*'2026 Labor Alloc %'!AS59</f>
        <v>0</v>
      </c>
      <c r="AX59" s="278">
        <f>$G59*'2026 Labor Alloc %'!AT59</f>
        <v>0</v>
      </c>
      <c r="AY59" s="278">
        <f>$G59*'2026 Labor Alloc %'!AU59</f>
        <v>0</v>
      </c>
      <c r="AZ59" s="278">
        <f t="shared" si="1"/>
        <v>49115.625</v>
      </c>
      <c r="BA59" s="278">
        <f t="shared" si="2"/>
        <v>0</v>
      </c>
      <c r="BD59" s="123"/>
    </row>
    <row r="60" spans="1:56" ht="12.75">
      <c r="A60" s="66">
        <v>249</v>
      </c>
      <c r="B60" s="66" t="str">
        <f>'Comp 25-26'!A56</f>
        <v>Vacant</v>
      </c>
      <c r="C60" s="66"/>
      <c r="D60" s="66" t="str">
        <f>'Comp 25-26'!C56</f>
        <v>Information &amp; Assistance Specialist</v>
      </c>
      <c r="E60" s="66"/>
      <c r="F60" s="66"/>
      <c r="G60" s="74">
        <f>'Comp 25-26'!T56</f>
        <v>39312.146249999998</v>
      </c>
      <c r="H60" s="278">
        <f>$G60*'2026 Labor Alloc %'!D60</f>
        <v>0</v>
      </c>
      <c r="I60" s="278">
        <f>$G60*'2026 Labor Alloc %'!E60</f>
        <v>22801.044824999997</v>
      </c>
      <c r="J60" s="278">
        <f>$G60*'2026 Labor Alloc %'!F60</f>
        <v>0</v>
      </c>
      <c r="K60" s="278">
        <f>$G60*'2026 Labor Alloc %'!G60</f>
        <v>0</v>
      </c>
      <c r="L60" s="278">
        <f>$G60*'2026 Labor Alloc %'!H60</f>
        <v>0</v>
      </c>
      <c r="M60" s="278">
        <f>$G60*'2026 Labor Alloc %'!I60</f>
        <v>0</v>
      </c>
      <c r="N60" s="278">
        <f>$G60*'2026 Labor Alloc %'!J60</f>
        <v>0</v>
      </c>
      <c r="O60" s="278">
        <f>$G60*'2026 Labor Alloc %'!K60</f>
        <v>0</v>
      </c>
      <c r="P60" s="278">
        <f>$G60*'2026 Labor Alloc %'!L60</f>
        <v>0</v>
      </c>
      <c r="Q60" s="278">
        <f>$G60*'2026 Labor Alloc %'!M60</f>
        <v>0</v>
      </c>
      <c r="R60" s="278">
        <f>$G60*'2026 Labor Alloc %'!N60</f>
        <v>0</v>
      </c>
      <c r="S60" s="278">
        <f>$G60*'2026 Labor Alloc %'!O60</f>
        <v>0</v>
      </c>
      <c r="T60" s="278">
        <f>$G60*'2026 Labor Alloc %'!P60</f>
        <v>0</v>
      </c>
      <c r="U60" s="278">
        <f>$G60*'2026 Labor Alloc %'!Q60</f>
        <v>0</v>
      </c>
      <c r="V60" s="278">
        <f>$G60*'2026 Labor Alloc %'!R60</f>
        <v>0</v>
      </c>
      <c r="W60" s="278">
        <f>$G60*'2026 Labor Alloc %'!S60</f>
        <v>0</v>
      </c>
      <c r="X60" s="278">
        <f>$G60*'2026 Labor Alloc %'!T60</f>
        <v>0</v>
      </c>
      <c r="Y60" s="278">
        <f>$G60*'2026 Labor Alloc %'!U60</f>
        <v>0</v>
      </c>
      <c r="Z60" s="278">
        <f>$G60*'2026 Labor Alloc %'!V60</f>
        <v>0</v>
      </c>
      <c r="AA60" s="278">
        <f>$G60*'2026 Labor Alloc %'!W60</f>
        <v>0</v>
      </c>
      <c r="AB60" s="278">
        <f>$G60*'2026 Labor Alloc %'!X60</f>
        <v>0</v>
      </c>
      <c r="AC60" s="278">
        <f>$G60*'2026 Labor Alloc %'!Y60</f>
        <v>0</v>
      </c>
      <c r="AD60" s="278">
        <f>$G60*'2026 Labor Alloc %'!Z60</f>
        <v>0</v>
      </c>
      <c r="AE60" s="278">
        <f>$G60*'2026 Labor Alloc %'!AA60</f>
        <v>0</v>
      </c>
      <c r="AF60" s="278">
        <f>$G60*'2026 Labor Alloc %'!AB60</f>
        <v>0</v>
      </c>
      <c r="AG60" s="278">
        <f>$G60*'2026 Labor Alloc %'!AC60</f>
        <v>0</v>
      </c>
      <c r="AH60" s="278">
        <f>$G60*'2026 Labor Alloc %'!AD60</f>
        <v>0</v>
      </c>
      <c r="AI60" s="278">
        <f>$G60*'2026 Labor Alloc %'!AE60</f>
        <v>0</v>
      </c>
      <c r="AJ60" s="278">
        <f>$G60*'2026 Labor Alloc %'!AF60</f>
        <v>0</v>
      </c>
      <c r="AK60" s="278">
        <f>$G60*'2026 Labor Alloc %'!AG60</f>
        <v>0</v>
      </c>
      <c r="AL60" s="278">
        <f>$G60*'2026 Labor Alloc %'!AH60</f>
        <v>0</v>
      </c>
      <c r="AM60" s="278">
        <f>$G60*'2026 Labor Alloc %'!AI60</f>
        <v>0</v>
      </c>
      <c r="AN60" s="278">
        <f>$G60*'2026 Labor Alloc %'!AJ60</f>
        <v>0</v>
      </c>
      <c r="AO60" s="278">
        <f>$G60*'2026 Labor Alloc %'!AK60</f>
        <v>0</v>
      </c>
      <c r="AP60" s="278">
        <f>$G60*'2026 Labor Alloc %'!AL60</f>
        <v>0</v>
      </c>
      <c r="AQ60" s="278">
        <f>$G60*'2026 Labor Alloc %'!AM60</f>
        <v>0</v>
      </c>
      <c r="AR60" s="278">
        <f>$G60*'2026 Labor Alloc %'!AN60</f>
        <v>0</v>
      </c>
      <c r="AS60" s="278">
        <f>$G60*'2026 Labor Alloc %'!AO60</f>
        <v>0</v>
      </c>
      <c r="AT60" s="278">
        <f>$G60*'2026 Labor Alloc %'!AP60</f>
        <v>0</v>
      </c>
      <c r="AU60" s="278">
        <f>$G60*'2026 Labor Alloc %'!AQ60</f>
        <v>16511.101424999997</v>
      </c>
      <c r="AV60" s="278">
        <f>$G60*'2026 Labor Alloc %'!AR60</f>
        <v>0</v>
      </c>
      <c r="AW60" s="278">
        <f>$G60*'2026 Labor Alloc %'!AS60</f>
        <v>0</v>
      </c>
      <c r="AX60" s="278">
        <f>$G60*'2026 Labor Alloc %'!AT60</f>
        <v>0</v>
      </c>
      <c r="AY60" s="278">
        <f>$G60*'2026 Labor Alloc %'!AU60</f>
        <v>0</v>
      </c>
      <c r="AZ60" s="278">
        <f t="shared" si="1"/>
        <v>39312.146249999991</v>
      </c>
      <c r="BA60" s="278">
        <f t="shared" si="2"/>
        <v>0</v>
      </c>
      <c r="BD60" s="123"/>
    </row>
    <row r="61" spans="1:56" ht="12.75">
      <c r="A61" s="66">
        <v>252</v>
      </c>
      <c r="B61" s="66" t="str">
        <f>'Comp 25-26'!A57</f>
        <v>Rivera-Dominguez, Yesenia</v>
      </c>
      <c r="C61" s="66"/>
      <c r="D61" s="66" t="str">
        <f>'Comp 25-26'!C57</f>
        <v>OAA Program Manager</v>
      </c>
      <c r="E61" s="66"/>
      <c r="F61" s="66"/>
      <c r="G61" s="74">
        <f>'Comp 25-26'!T57</f>
        <v>60735.009362500001</v>
      </c>
      <c r="H61" s="278">
        <f>$G61*'2026 Labor Alloc %'!D61</f>
        <v>6377.1759830624997</v>
      </c>
      <c r="I61" s="278">
        <f>$G61*'2026 Labor Alloc %'!E61</f>
        <v>9110.2514043749998</v>
      </c>
      <c r="J61" s="278">
        <f>$G61*'2026 Labor Alloc %'!F61</f>
        <v>0</v>
      </c>
      <c r="K61" s="278">
        <f>$G61*'2026 Labor Alloc %'!G61</f>
        <v>9110.2514043749998</v>
      </c>
      <c r="L61" s="278">
        <f>$G61*'2026 Labor Alloc %'!H61</f>
        <v>0</v>
      </c>
      <c r="M61" s="278">
        <f>$G61*'2026 Labor Alloc %'!I61</f>
        <v>0</v>
      </c>
      <c r="N61" s="278">
        <f>$G61*'2026 Labor Alloc %'!J61</f>
        <v>0</v>
      </c>
      <c r="O61" s="278">
        <f>$G61*'2026 Labor Alloc %'!K61</f>
        <v>0</v>
      </c>
      <c r="P61" s="278">
        <f>$G61*'2026 Labor Alloc %'!L61</f>
        <v>0</v>
      </c>
      <c r="Q61" s="278">
        <f>$G61*'2026 Labor Alloc %'!M61</f>
        <v>0</v>
      </c>
      <c r="R61" s="278">
        <f>$G61*'2026 Labor Alloc %'!N61</f>
        <v>0</v>
      </c>
      <c r="S61" s="278">
        <f>$G61*'2026 Labor Alloc %'!O61</f>
        <v>0</v>
      </c>
      <c r="T61" s="278">
        <f>$G61*'2026 Labor Alloc %'!P61</f>
        <v>0</v>
      </c>
      <c r="U61" s="278">
        <f>$G61*'2026 Labor Alloc %'!Q61</f>
        <v>0</v>
      </c>
      <c r="V61" s="278">
        <f>$G61*'2026 Labor Alloc %'!R61</f>
        <v>0</v>
      </c>
      <c r="W61" s="278">
        <f>$G61*'2026 Labor Alloc %'!S61</f>
        <v>0</v>
      </c>
      <c r="X61" s="278">
        <f>$G61*'2026 Labor Alloc %'!T61</f>
        <v>0</v>
      </c>
      <c r="Y61" s="278">
        <f>$G61*'2026 Labor Alloc %'!U61</f>
        <v>0</v>
      </c>
      <c r="Z61" s="278">
        <f>$G61*'2026 Labor Alloc %'!V61</f>
        <v>8199.2262639375003</v>
      </c>
      <c r="AA61" s="278">
        <f>$G61*'2026 Labor Alloc %'!W61</f>
        <v>13969.052153375002</v>
      </c>
      <c r="AB61" s="278">
        <f>$G61*'2026 Labor Alloc %'!X61</f>
        <v>0</v>
      </c>
      <c r="AC61" s="278">
        <f>$G61*'2026 Labor Alloc %'!Y61</f>
        <v>0</v>
      </c>
      <c r="AD61" s="278">
        <f>$G61*'2026 Labor Alloc %'!Z61</f>
        <v>9110.2514043749998</v>
      </c>
      <c r="AE61" s="278">
        <f>$G61*'2026 Labor Alloc %'!AA61</f>
        <v>0</v>
      </c>
      <c r="AF61" s="278">
        <f>$G61*'2026 Labor Alloc %'!AB61</f>
        <v>0</v>
      </c>
      <c r="AG61" s="278">
        <f>$G61*'2026 Labor Alloc %'!AC61</f>
        <v>0</v>
      </c>
      <c r="AH61" s="278">
        <f>$G61*'2026 Labor Alloc %'!AD61</f>
        <v>0</v>
      </c>
      <c r="AI61" s="278">
        <f>$G61*'2026 Labor Alloc %'!AE61</f>
        <v>0</v>
      </c>
      <c r="AJ61" s="278">
        <f>$G61*'2026 Labor Alloc %'!AF61</f>
        <v>0</v>
      </c>
      <c r="AK61" s="278">
        <f>$G61*'2026 Labor Alloc %'!AG61</f>
        <v>0</v>
      </c>
      <c r="AL61" s="278">
        <f>$G61*'2026 Labor Alloc %'!AH61</f>
        <v>0</v>
      </c>
      <c r="AM61" s="278">
        <f>$G61*'2026 Labor Alloc %'!AI61</f>
        <v>0</v>
      </c>
      <c r="AN61" s="278">
        <f>$G61*'2026 Labor Alloc %'!AJ61</f>
        <v>0</v>
      </c>
      <c r="AO61" s="278">
        <f>$G61*'2026 Labor Alloc %'!AK61</f>
        <v>0</v>
      </c>
      <c r="AP61" s="278">
        <f>$G61*'2026 Labor Alloc %'!AL61</f>
        <v>0</v>
      </c>
      <c r="AQ61" s="278">
        <f>$G61*'2026 Labor Alloc %'!AM61</f>
        <v>0</v>
      </c>
      <c r="AR61" s="278">
        <f>$G61*'2026 Labor Alloc %'!AN61</f>
        <v>0</v>
      </c>
      <c r="AS61" s="278">
        <f>$G61*'2026 Labor Alloc %'!AO61</f>
        <v>3036.7504681250002</v>
      </c>
      <c r="AT61" s="278">
        <f>$G61*'2026 Labor Alloc %'!AP61</f>
        <v>1822.050280875</v>
      </c>
      <c r="AU61" s="278">
        <f>$G61*'2026 Labor Alloc %'!AQ61</f>
        <v>0</v>
      </c>
      <c r="AV61" s="278">
        <f>$G61*'2026 Labor Alloc %'!AR61</f>
        <v>0</v>
      </c>
      <c r="AW61" s="278">
        <f>$G61*'2026 Labor Alloc %'!AS61</f>
        <v>0</v>
      </c>
      <c r="AX61" s="278">
        <f>$G61*'2026 Labor Alloc %'!AT61</f>
        <v>0</v>
      </c>
      <c r="AY61" s="278">
        <f>$G61*'2026 Labor Alloc %'!AU61</f>
        <v>0</v>
      </c>
      <c r="AZ61" s="278">
        <f t="shared" si="1"/>
        <v>60735.009362500001</v>
      </c>
      <c r="BA61" s="278">
        <f t="shared" si="2"/>
        <v>0</v>
      </c>
      <c r="BD61" s="123"/>
    </row>
    <row r="62" spans="1:56" ht="12.75">
      <c r="A62" s="66">
        <v>372</v>
      </c>
      <c r="B62" s="66" t="str">
        <f>'Comp 25-26'!A58</f>
        <v>Russo, Devon</v>
      </c>
      <c r="C62" s="66"/>
      <c r="D62" s="66" t="str">
        <f>'Comp 25-26'!C58</f>
        <v>Data IT Support Specialist</v>
      </c>
      <c r="E62" s="66"/>
      <c r="F62" s="66"/>
      <c r="G62" s="74">
        <f>'Comp 25-26'!T58</f>
        <v>58784.526937500006</v>
      </c>
      <c r="H62" s="278">
        <f>$G62*'2026 Labor Alloc %'!D62</f>
        <v>0</v>
      </c>
      <c r="I62" s="278">
        <f>$G62*'2026 Labor Alloc %'!E62</f>
        <v>0</v>
      </c>
      <c r="J62" s="278">
        <f>$G62*'2026 Labor Alloc %'!F62</f>
        <v>0</v>
      </c>
      <c r="K62" s="278">
        <f>$G62*'2026 Labor Alloc %'!G62</f>
        <v>4702.7621550000003</v>
      </c>
      <c r="L62" s="278">
        <f>$G62*'2026 Labor Alloc %'!H62</f>
        <v>0</v>
      </c>
      <c r="M62" s="278">
        <f>$G62*'2026 Labor Alloc %'!I62</f>
        <v>5878.4526937500013</v>
      </c>
      <c r="N62" s="278">
        <f>$G62*'2026 Labor Alloc %'!J62</f>
        <v>0</v>
      </c>
      <c r="O62" s="278">
        <f>$G62*'2026 Labor Alloc %'!K62</f>
        <v>8229.8337712500015</v>
      </c>
      <c r="P62" s="278">
        <f>$G62*'2026 Labor Alloc %'!L62</f>
        <v>0</v>
      </c>
      <c r="Q62" s="278">
        <f>$G62*'2026 Labor Alloc %'!M62</f>
        <v>0</v>
      </c>
      <c r="R62" s="278">
        <f>$G62*'2026 Labor Alloc %'!N62</f>
        <v>4702.7621550000003</v>
      </c>
      <c r="S62" s="278">
        <f>$G62*'2026 Labor Alloc %'!O62</f>
        <v>4702.7621550000003</v>
      </c>
      <c r="T62" s="278">
        <f>$G62*'2026 Labor Alloc %'!P62</f>
        <v>4702.7621550000003</v>
      </c>
      <c r="U62" s="278">
        <f>$G62*'2026 Labor Alloc %'!Q62</f>
        <v>0</v>
      </c>
      <c r="V62" s="278">
        <f>$G62*'2026 Labor Alloc %'!R62</f>
        <v>0</v>
      </c>
      <c r="W62" s="278">
        <f>$G62*'2026 Labor Alloc %'!S62</f>
        <v>0</v>
      </c>
      <c r="X62" s="278">
        <f>$G62*'2026 Labor Alloc %'!T62</f>
        <v>0</v>
      </c>
      <c r="Y62" s="278">
        <f>$G62*'2026 Labor Alloc %'!U62</f>
        <v>0</v>
      </c>
      <c r="Z62" s="278">
        <f>$G62*'2026 Labor Alloc %'!V62</f>
        <v>0</v>
      </c>
      <c r="AA62" s="278">
        <f>$G62*'2026 Labor Alloc %'!W62</f>
        <v>4702.7621550000003</v>
      </c>
      <c r="AB62" s="278">
        <f>$G62*'2026 Labor Alloc %'!X62</f>
        <v>0</v>
      </c>
      <c r="AC62" s="278">
        <f>$G62*'2026 Labor Alloc %'!Y62</f>
        <v>0</v>
      </c>
      <c r="AD62" s="278">
        <f>$G62*'2026 Labor Alloc %'!Z62</f>
        <v>12344.750656875001</v>
      </c>
      <c r="AE62" s="278">
        <f>$G62*'2026 Labor Alloc %'!AA62</f>
        <v>0</v>
      </c>
      <c r="AF62" s="278">
        <f>$G62*'2026 Labor Alloc %'!AB62</f>
        <v>0</v>
      </c>
      <c r="AG62" s="278">
        <f>$G62*'2026 Labor Alloc %'!AC62</f>
        <v>0</v>
      </c>
      <c r="AH62" s="278">
        <f>$G62*'2026 Labor Alloc %'!AD62</f>
        <v>4702.7621550000003</v>
      </c>
      <c r="AI62" s="278">
        <f>$G62*'2026 Labor Alloc %'!AE62</f>
        <v>4114.9168856250008</v>
      </c>
      <c r="AJ62" s="278">
        <f>$G62*'2026 Labor Alloc %'!AF62</f>
        <v>0</v>
      </c>
      <c r="AK62" s="278">
        <f>$G62*'2026 Labor Alloc %'!AG62</f>
        <v>0</v>
      </c>
      <c r="AL62" s="278">
        <f>$G62*'2026 Labor Alloc %'!AH62</f>
        <v>0</v>
      </c>
      <c r="AM62" s="278">
        <f>$G62*'2026 Labor Alloc %'!AI62</f>
        <v>0</v>
      </c>
      <c r="AN62" s="278">
        <f>$G62*'2026 Labor Alloc %'!AJ62</f>
        <v>0</v>
      </c>
      <c r="AO62" s="278">
        <f>$G62*'2026 Labor Alloc %'!AK62</f>
        <v>0</v>
      </c>
      <c r="AP62" s="278">
        <f>$G62*'2026 Labor Alloc %'!AL62</f>
        <v>0</v>
      </c>
      <c r="AQ62" s="278">
        <f>$G62*'2026 Labor Alloc %'!AM62</f>
        <v>0</v>
      </c>
      <c r="AR62" s="278">
        <f>$G62*'2026 Labor Alloc %'!AN62</f>
        <v>0</v>
      </c>
      <c r="AS62" s="278">
        <f>$G62*'2026 Labor Alloc %'!AO62</f>
        <v>0</v>
      </c>
      <c r="AT62" s="278">
        <f>$G62*'2026 Labor Alloc %'!AP62</f>
        <v>0</v>
      </c>
      <c r="AU62" s="278">
        <f>$G62*'2026 Labor Alloc %'!AQ62</f>
        <v>0</v>
      </c>
      <c r="AV62" s="278">
        <f>$G62*'2026 Labor Alloc %'!AR62</f>
        <v>0</v>
      </c>
      <c r="AW62" s="278">
        <f>$G62*'2026 Labor Alloc %'!AS62</f>
        <v>0</v>
      </c>
      <c r="AX62" s="278">
        <f>$G62*'2026 Labor Alloc %'!AT62</f>
        <v>0</v>
      </c>
      <c r="AY62" s="278">
        <f>$G62*'2026 Labor Alloc %'!AU62</f>
        <v>0</v>
      </c>
      <c r="AZ62" s="278">
        <f t="shared" si="1"/>
        <v>58784.526937500006</v>
      </c>
      <c r="BA62" s="278">
        <f t="shared" si="2"/>
        <v>0</v>
      </c>
      <c r="BD62" s="123"/>
    </row>
    <row r="63" spans="1:56" ht="12.75">
      <c r="A63" s="66">
        <v>374</v>
      </c>
      <c r="B63" s="66" t="str">
        <f>'Comp 25-26'!A59</f>
        <v>Sanchez, Arlene</v>
      </c>
      <c r="C63" s="66"/>
      <c r="D63" s="66" t="str">
        <f>'Comp 25-26'!C59</f>
        <v>Intake Specialist Coordinator</v>
      </c>
      <c r="E63" s="66"/>
      <c r="F63" s="66"/>
      <c r="G63" s="74">
        <f>'Comp 25-26'!T59</f>
        <v>60857.204312499998</v>
      </c>
      <c r="H63" s="278">
        <f>$G63*'2026 Labor Alloc %'!D63</f>
        <v>0</v>
      </c>
      <c r="I63" s="278">
        <f>$G63*'2026 Labor Alloc %'!E63</f>
        <v>0</v>
      </c>
      <c r="J63" s="278">
        <f>$G63*'2026 Labor Alloc %'!F63</f>
        <v>0</v>
      </c>
      <c r="K63" s="278">
        <f>$G63*'2026 Labor Alloc %'!G63</f>
        <v>0</v>
      </c>
      <c r="L63" s="278">
        <f>$G63*'2026 Labor Alloc %'!H63</f>
        <v>0</v>
      </c>
      <c r="M63" s="278">
        <f>$G63*'2026 Labor Alloc %'!I63</f>
        <v>0</v>
      </c>
      <c r="N63" s="278">
        <f>$G63*'2026 Labor Alloc %'!J63</f>
        <v>0</v>
      </c>
      <c r="O63" s="278">
        <f>$G63*'2026 Labor Alloc %'!K63</f>
        <v>54771.483881250002</v>
      </c>
      <c r="P63" s="278">
        <f>$G63*'2026 Labor Alloc %'!L63</f>
        <v>6085.7204312499998</v>
      </c>
      <c r="Q63" s="278">
        <f>$G63*'2026 Labor Alloc %'!M63</f>
        <v>0</v>
      </c>
      <c r="R63" s="278">
        <f>$G63*'2026 Labor Alloc %'!N63</f>
        <v>0</v>
      </c>
      <c r="S63" s="278">
        <f>$G63*'2026 Labor Alloc %'!O63</f>
        <v>0</v>
      </c>
      <c r="T63" s="278">
        <f>$G63*'2026 Labor Alloc %'!P63</f>
        <v>0</v>
      </c>
      <c r="U63" s="278">
        <f>$G63*'2026 Labor Alloc %'!Q63</f>
        <v>0</v>
      </c>
      <c r="V63" s="278">
        <f>$G63*'2026 Labor Alloc %'!R63</f>
        <v>0</v>
      </c>
      <c r="W63" s="278">
        <f>$G63*'2026 Labor Alloc %'!S63</f>
        <v>0</v>
      </c>
      <c r="X63" s="278">
        <f>$G63*'2026 Labor Alloc %'!T63</f>
        <v>0</v>
      </c>
      <c r="Y63" s="278">
        <f>$G63*'2026 Labor Alloc %'!U63</f>
        <v>0</v>
      </c>
      <c r="Z63" s="278">
        <f>$G63*'2026 Labor Alloc %'!V63</f>
        <v>0</v>
      </c>
      <c r="AA63" s="278">
        <f>$G63*'2026 Labor Alloc %'!W63</f>
        <v>0</v>
      </c>
      <c r="AB63" s="278">
        <f>$G63*'2026 Labor Alloc %'!X63</f>
        <v>0</v>
      </c>
      <c r="AC63" s="278">
        <f>$G63*'2026 Labor Alloc %'!Y63</f>
        <v>0</v>
      </c>
      <c r="AD63" s="278">
        <f>$G63*'2026 Labor Alloc %'!Z63</f>
        <v>0</v>
      </c>
      <c r="AE63" s="278">
        <f>$G63*'2026 Labor Alloc %'!AA63</f>
        <v>0</v>
      </c>
      <c r="AF63" s="278">
        <f>$G63*'2026 Labor Alloc %'!AB63</f>
        <v>0</v>
      </c>
      <c r="AG63" s="278">
        <f>$G63*'2026 Labor Alloc %'!AC63</f>
        <v>0</v>
      </c>
      <c r="AH63" s="278">
        <f>$G63*'2026 Labor Alloc %'!AD63</f>
        <v>0</v>
      </c>
      <c r="AI63" s="278">
        <f>$G63*'2026 Labor Alloc %'!AE63</f>
        <v>0</v>
      </c>
      <c r="AJ63" s="278">
        <f>$G63*'2026 Labor Alloc %'!AF63</f>
        <v>0</v>
      </c>
      <c r="AK63" s="278">
        <f>$G63*'2026 Labor Alloc %'!AG63</f>
        <v>0</v>
      </c>
      <c r="AL63" s="278">
        <f>$G63*'2026 Labor Alloc %'!AH63</f>
        <v>0</v>
      </c>
      <c r="AM63" s="278">
        <f>$G63*'2026 Labor Alloc %'!AI63</f>
        <v>0</v>
      </c>
      <c r="AN63" s="278">
        <f>$G63*'2026 Labor Alloc %'!AJ63</f>
        <v>0</v>
      </c>
      <c r="AO63" s="278">
        <f>$G63*'2026 Labor Alloc %'!AK63</f>
        <v>0</v>
      </c>
      <c r="AP63" s="278">
        <f>$G63*'2026 Labor Alloc %'!AL63</f>
        <v>0</v>
      </c>
      <c r="AQ63" s="278">
        <f>$G63*'2026 Labor Alloc %'!AM63</f>
        <v>0</v>
      </c>
      <c r="AR63" s="278">
        <f>$G63*'2026 Labor Alloc %'!AN63</f>
        <v>0</v>
      </c>
      <c r="AS63" s="278">
        <f>$G63*'2026 Labor Alloc %'!AO63</f>
        <v>0</v>
      </c>
      <c r="AT63" s="278">
        <f>$G63*'2026 Labor Alloc %'!AP63</f>
        <v>0</v>
      </c>
      <c r="AU63" s="278">
        <f>$G63*'2026 Labor Alloc %'!AQ63</f>
        <v>0</v>
      </c>
      <c r="AV63" s="278">
        <f>$G63*'2026 Labor Alloc %'!AR63</f>
        <v>0</v>
      </c>
      <c r="AW63" s="278">
        <f>$G63*'2026 Labor Alloc %'!AS63</f>
        <v>0</v>
      </c>
      <c r="AX63" s="278">
        <f>$G63*'2026 Labor Alloc %'!AT63</f>
        <v>0</v>
      </c>
      <c r="AY63" s="278">
        <f>$G63*'2026 Labor Alloc %'!AU63</f>
        <v>0</v>
      </c>
      <c r="AZ63" s="278">
        <f t="shared" si="1"/>
        <v>60857.204312500005</v>
      </c>
      <c r="BA63" s="278">
        <f t="shared" si="2"/>
        <v>0</v>
      </c>
      <c r="BD63" s="123"/>
    </row>
    <row r="64" spans="1:56" ht="12.75">
      <c r="A64" s="66">
        <v>253</v>
      </c>
      <c r="B64" s="66" t="str">
        <f>'Comp 25-26'!A60</f>
        <v>Sarivong, Douangchai</v>
      </c>
      <c r="C64" s="66"/>
      <c r="D64" s="66" t="str">
        <f>'Comp 25-26'!C60</f>
        <v>Information &amp; Assistance Specialist</v>
      </c>
      <c r="E64" s="66"/>
      <c r="F64" s="66"/>
      <c r="G64" s="74">
        <f>'Comp 25-26'!T60</f>
        <v>48646.472549999999</v>
      </c>
      <c r="H64" s="278">
        <f>$G64*'2026 Labor Alloc %'!D64</f>
        <v>0</v>
      </c>
      <c r="I64" s="278">
        <f>$G64*'2026 Labor Alloc %'!E64</f>
        <v>28214.954078999996</v>
      </c>
      <c r="J64" s="278">
        <f>$G64*'2026 Labor Alloc %'!F64</f>
        <v>0</v>
      </c>
      <c r="K64" s="278">
        <f>$G64*'2026 Labor Alloc %'!G64</f>
        <v>0</v>
      </c>
      <c r="L64" s="278">
        <f>$G64*'2026 Labor Alloc %'!H64</f>
        <v>0</v>
      </c>
      <c r="M64" s="278">
        <f>$G64*'2026 Labor Alloc %'!I64</f>
        <v>0</v>
      </c>
      <c r="N64" s="278">
        <f>$G64*'2026 Labor Alloc %'!J64</f>
        <v>0</v>
      </c>
      <c r="O64" s="278">
        <f>$G64*'2026 Labor Alloc %'!K64</f>
        <v>0</v>
      </c>
      <c r="P64" s="278">
        <f>$G64*'2026 Labor Alloc %'!L64</f>
        <v>0</v>
      </c>
      <c r="Q64" s="278">
        <f>$G64*'2026 Labor Alloc %'!M64</f>
        <v>0</v>
      </c>
      <c r="R64" s="278">
        <f>$G64*'2026 Labor Alloc %'!N64</f>
        <v>0</v>
      </c>
      <c r="S64" s="278">
        <f>$G64*'2026 Labor Alloc %'!O64</f>
        <v>0</v>
      </c>
      <c r="T64" s="278">
        <f>$G64*'2026 Labor Alloc %'!P64</f>
        <v>0</v>
      </c>
      <c r="U64" s="278">
        <f>$G64*'2026 Labor Alloc %'!Q64</f>
        <v>0</v>
      </c>
      <c r="V64" s="278">
        <f>$G64*'2026 Labor Alloc %'!R64</f>
        <v>0</v>
      </c>
      <c r="W64" s="278">
        <f>$G64*'2026 Labor Alloc %'!S64</f>
        <v>0</v>
      </c>
      <c r="X64" s="278">
        <f>$G64*'2026 Labor Alloc %'!T64</f>
        <v>0</v>
      </c>
      <c r="Y64" s="278">
        <f>$G64*'2026 Labor Alloc %'!U64</f>
        <v>0</v>
      </c>
      <c r="Z64" s="278">
        <f>$G64*'2026 Labor Alloc %'!V64</f>
        <v>0</v>
      </c>
      <c r="AA64" s="278">
        <f>$G64*'2026 Labor Alloc %'!W64</f>
        <v>0</v>
      </c>
      <c r="AB64" s="278">
        <f>$G64*'2026 Labor Alloc %'!X64</f>
        <v>0</v>
      </c>
      <c r="AC64" s="278">
        <f>$G64*'2026 Labor Alloc %'!Y64</f>
        <v>0</v>
      </c>
      <c r="AD64" s="278">
        <f>$G64*'2026 Labor Alloc %'!Z64</f>
        <v>0</v>
      </c>
      <c r="AE64" s="278">
        <f>$G64*'2026 Labor Alloc %'!AA64</f>
        <v>0</v>
      </c>
      <c r="AF64" s="278">
        <f>$G64*'2026 Labor Alloc %'!AB64</f>
        <v>0</v>
      </c>
      <c r="AG64" s="278">
        <f>$G64*'2026 Labor Alloc %'!AC64</f>
        <v>0</v>
      </c>
      <c r="AH64" s="278">
        <f>$G64*'2026 Labor Alloc %'!AD64</f>
        <v>0</v>
      </c>
      <c r="AI64" s="278">
        <f>$G64*'2026 Labor Alloc %'!AE64</f>
        <v>0</v>
      </c>
      <c r="AJ64" s="278">
        <f>$G64*'2026 Labor Alloc %'!AF64</f>
        <v>0</v>
      </c>
      <c r="AK64" s="278">
        <f>$G64*'2026 Labor Alloc %'!AG64</f>
        <v>0</v>
      </c>
      <c r="AL64" s="278">
        <f>$G64*'2026 Labor Alloc %'!AH64</f>
        <v>0</v>
      </c>
      <c r="AM64" s="278">
        <f>$G64*'2026 Labor Alloc %'!AI64</f>
        <v>0</v>
      </c>
      <c r="AN64" s="278">
        <f>$G64*'2026 Labor Alloc %'!AJ64</f>
        <v>0</v>
      </c>
      <c r="AO64" s="278">
        <f>$G64*'2026 Labor Alloc %'!AK64</f>
        <v>0</v>
      </c>
      <c r="AP64" s="278">
        <f>$G64*'2026 Labor Alloc %'!AL64</f>
        <v>0</v>
      </c>
      <c r="AQ64" s="278">
        <f>$G64*'2026 Labor Alloc %'!AM64</f>
        <v>0</v>
      </c>
      <c r="AR64" s="278">
        <f>$G64*'2026 Labor Alloc %'!AN64</f>
        <v>0</v>
      </c>
      <c r="AS64" s="278">
        <f>$G64*'2026 Labor Alloc %'!AO64</f>
        <v>0</v>
      </c>
      <c r="AT64" s="278">
        <f>$G64*'2026 Labor Alloc %'!AP64</f>
        <v>0</v>
      </c>
      <c r="AU64" s="278">
        <f>$G64*'2026 Labor Alloc %'!AQ64</f>
        <v>20431.518470999999</v>
      </c>
      <c r="AV64" s="278">
        <f>$G64*'2026 Labor Alloc %'!AR64</f>
        <v>0</v>
      </c>
      <c r="AW64" s="278">
        <f>$G64*'2026 Labor Alloc %'!AS64</f>
        <v>0</v>
      </c>
      <c r="AX64" s="278">
        <f>$G64*'2026 Labor Alloc %'!AT64</f>
        <v>0</v>
      </c>
      <c r="AY64" s="278">
        <f>$G64*'2026 Labor Alloc %'!AU64</f>
        <v>0</v>
      </c>
      <c r="AZ64" s="278">
        <f t="shared" si="1"/>
        <v>48646.472549999991</v>
      </c>
      <c r="BA64" s="278">
        <f t="shared" si="2"/>
        <v>0</v>
      </c>
      <c r="BD64" s="123"/>
    </row>
    <row r="65" spans="1:57" ht="12.75">
      <c r="A65" s="66">
        <v>254</v>
      </c>
      <c r="B65" s="66" t="str">
        <f>'Comp 25-26'!A61</f>
        <v>Scaramuzzini, Anthony</v>
      </c>
      <c r="C65" s="66"/>
      <c r="D65" s="66" t="str">
        <f>'Comp 25-26'!C61</f>
        <v>Information &amp; Assistance Specialist</v>
      </c>
      <c r="E65" s="66"/>
      <c r="F65" s="66"/>
      <c r="G65" s="74">
        <f>'Comp 25-26'!T61</f>
        <v>44032.747199999998</v>
      </c>
      <c r="H65" s="278">
        <f>$G65*'2026 Labor Alloc %'!D65</f>
        <v>0</v>
      </c>
      <c r="I65" s="278">
        <f>$G65*'2026 Labor Alloc %'!E65</f>
        <v>25538.993375999999</v>
      </c>
      <c r="J65" s="278">
        <f>$G65*'2026 Labor Alloc %'!F65</f>
        <v>0</v>
      </c>
      <c r="K65" s="278">
        <f>$G65*'2026 Labor Alloc %'!G65</f>
        <v>0</v>
      </c>
      <c r="L65" s="278">
        <f>$G65*'2026 Labor Alloc %'!H65</f>
        <v>0</v>
      </c>
      <c r="M65" s="278">
        <f>$G65*'2026 Labor Alloc %'!I65</f>
        <v>0</v>
      </c>
      <c r="N65" s="278">
        <f>$G65*'2026 Labor Alloc %'!J65</f>
        <v>0</v>
      </c>
      <c r="O65" s="278">
        <f>$G65*'2026 Labor Alloc %'!K65</f>
        <v>0</v>
      </c>
      <c r="P65" s="278">
        <f>$G65*'2026 Labor Alloc %'!L65</f>
        <v>0</v>
      </c>
      <c r="Q65" s="278">
        <f>$G65*'2026 Labor Alloc %'!M65</f>
        <v>0</v>
      </c>
      <c r="R65" s="278">
        <f>$G65*'2026 Labor Alloc %'!N65</f>
        <v>0</v>
      </c>
      <c r="S65" s="278">
        <f>$G65*'2026 Labor Alloc %'!O65</f>
        <v>0</v>
      </c>
      <c r="T65" s="278">
        <f>$G65*'2026 Labor Alloc %'!P65</f>
        <v>0</v>
      </c>
      <c r="U65" s="278">
        <f>$G65*'2026 Labor Alloc %'!Q65</f>
        <v>0</v>
      </c>
      <c r="V65" s="278">
        <f>$G65*'2026 Labor Alloc %'!R65</f>
        <v>0</v>
      </c>
      <c r="W65" s="278">
        <f>$G65*'2026 Labor Alloc %'!S65</f>
        <v>0</v>
      </c>
      <c r="X65" s="278">
        <f>$G65*'2026 Labor Alloc %'!T65</f>
        <v>0</v>
      </c>
      <c r="Y65" s="278">
        <f>$G65*'2026 Labor Alloc %'!U65</f>
        <v>0</v>
      </c>
      <c r="Z65" s="278">
        <f>$G65*'2026 Labor Alloc %'!V65</f>
        <v>0</v>
      </c>
      <c r="AA65" s="278">
        <f>$G65*'2026 Labor Alloc %'!W65</f>
        <v>0</v>
      </c>
      <c r="AB65" s="278">
        <f>$G65*'2026 Labor Alloc %'!X65</f>
        <v>0</v>
      </c>
      <c r="AC65" s="278">
        <f>$G65*'2026 Labor Alloc %'!Y65</f>
        <v>0</v>
      </c>
      <c r="AD65" s="278">
        <f>$G65*'2026 Labor Alloc %'!Z65</f>
        <v>0</v>
      </c>
      <c r="AE65" s="278">
        <f>$G65*'2026 Labor Alloc %'!AA65</f>
        <v>0</v>
      </c>
      <c r="AF65" s="278">
        <f>$G65*'2026 Labor Alloc %'!AB65</f>
        <v>0</v>
      </c>
      <c r="AG65" s="278">
        <f>$G65*'2026 Labor Alloc %'!AC65</f>
        <v>0</v>
      </c>
      <c r="AH65" s="278">
        <f>$G65*'2026 Labor Alloc %'!AD65</f>
        <v>0</v>
      </c>
      <c r="AI65" s="278">
        <f>$G65*'2026 Labor Alloc %'!AE65</f>
        <v>0</v>
      </c>
      <c r="AJ65" s="278">
        <f>$G65*'2026 Labor Alloc %'!AF65</f>
        <v>0</v>
      </c>
      <c r="AK65" s="278">
        <f>$G65*'2026 Labor Alloc %'!AG65</f>
        <v>0</v>
      </c>
      <c r="AL65" s="278">
        <f>$G65*'2026 Labor Alloc %'!AH65</f>
        <v>0</v>
      </c>
      <c r="AM65" s="278">
        <f>$G65*'2026 Labor Alloc %'!AI65</f>
        <v>0</v>
      </c>
      <c r="AN65" s="278">
        <f>$G65*'2026 Labor Alloc %'!AJ65</f>
        <v>0</v>
      </c>
      <c r="AO65" s="278">
        <f>$G65*'2026 Labor Alloc %'!AK65</f>
        <v>0</v>
      </c>
      <c r="AP65" s="278">
        <f>$G65*'2026 Labor Alloc %'!AL65</f>
        <v>0</v>
      </c>
      <c r="AQ65" s="278">
        <f>$G65*'2026 Labor Alloc %'!AM65</f>
        <v>0</v>
      </c>
      <c r="AR65" s="278">
        <f>$G65*'2026 Labor Alloc %'!AN65</f>
        <v>0</v>
      </c>
      <c r="AS65" s="278">
        <f>$G65*'2026 Labor Alloc %'!AO65</f>
        <v>0</v>
      </c>
      <c r="AT65" s="278">
        <f>$G65*'2026 Labor Alloc %'!AP65</f>
        <v>0</v>
      </c>
      <c r="AU65" s="278">
        <f>$G65*'2026 Labor Alloc %'!AQ65</f>
        <v>18493.753823999999</v>
      </c>
      <c r="AV65" s="278">
        <f>$G65*'2026 Labor Alloc %'!AR65</f>
        <v>0</v>
      </c>
      <c r="AW65" s="278">
        <f>$G65*'2026 Labor Alloc %'!AS65</f>
        <v>0</v>
      </c>
      <c r="AX65" s="278">
        <f>$G65*'2026 Labor Alloc %'!AT65</f>
        <v>0</v>
      </c>
      <c r="AY65" s="278">
        <f>$G65*'2026 Labor Alloc %'!AU65</f>
        <v>0</v>
      </c>
      <c r="AZ65" s="278">
        <f t="shared" si="1"/>
        <v>44032.747199999998</v>
      </c>
      <c r="BA65" s="278">
        <f t="shared" si="2"/>
        <v>0</v>
      </c>
      <c r="BD65" s="123"/>
    </row>
    <row r="66" spans="1:57" ht="12.75">
      <c r="A66" s="66">
        <v>369</v>
      </c>
      <c r="B66" s="66" t="str">
        <f>'Comp 25-26'!A62</f>
        <v>Valdes, Elizabeth</v>
      </c>
      <c r="C66" s="66"/>
      <c r="D66" s="66" t="str">
        <f>'Comp 25-26'!C62</f>
        <v>Medicaid Benefits Counselor</v>
      </c>
      <c r="E66" s="66"/>
      <c r="F66" s="66"/>
      <c r="G66" s="74">
        <f>'Comp 25-26'!T62</f>
        <v>42090.126000000004</v>
      </c>
      <c r="H66" s="278">
        <f>$G66*'2026 Labor Alloc %'!D66</f>
        <v>0</v>
      </c>
      <c r="I66" s="278">
        <f>$G66*'2026 Labor Alloc %'!E66</f>
        <v>0</v>
      </c>
      <c r="J66" s="278">
        <f>$G66*'2026 Labor Alloc %'!F66</f>
        <v>0</v>
      </c>
      <c r="K66" s="278">
        <f>$G66*'2026 Labor Alloc %'!G66</f>
        <v>0</v>
      </c>
      <c r="L66" s="278">
        <f>$G66*'2026 Labor Alloc %'!H66</f>
        <v>0</v>
      </c>
      <c r="M66" s="278">
        <f>$G66*'2026 Labor Alloc %'!I66</f>
        <v>0</v>
      </c>
      <c r="N66" s="278">
        <f>$G66*'2026 Labor Alloc %'!J66</f>
        <v>0</v>
      </c>
      <c r="O66" s="278">
        <f>$G66*'2026 Labor Alloc %'!K66</f>
        <v>0</v>
      </c>
      <c r="P66" s="278">
        <f>$G66*'2026 Labor Alloc %'!L66</f>
        <v>0</v>
      </c>
      <c r="Q66" s="278">
        <f>$G66*'2026 Labor Alloc %'!M66</f>
        <v>0</v>
      </c>
      <c r="R66" s="278">
        <f>$G66*'2026 Labor Alloc %'!N66</f>
        <v>0</v>
      </c>
      <c r="S66" s="278">
        <f>$G66*'2026 Labor Alloc %'!O66</f>
        <v>0</v>
      </c>
      <c r="T66" s="278">
        <f>$G66*'2026 Labor Alloc %'!P66</f>
        <v>0</v>
      </c>
      <c r="U66" s="278">
        <f>$G66*'2026 Labor Alloc %'!Q66</f>
        <v>0</v>
      </c>
      <c r="V66" s="278">
        <f>$G66*'2026 Labor Alloc %'!R66</f>
        <v>0</v>
      </c>
      <c r="W66" s="278">
        <f>$G66*'2026 Labor Alloc %'!S66</f>
        <v>0</v>
      </c>
      <c r="X66" s="278">
        <f>$G66*'2026 Labor Alloc %'!T66</f>
        <v>0</v>
      </c>
      <c r="Y66" s="278">
        <f>$G66*'2026 Labor Alloc %'!U66</f>
        <v>0</v>
      </c>
      <c r="Z66" s="278">
        <f>$G66*'2026 Labor Alloc %'!V66</f>
        <v>0</v>
      </c>
      <c r="AA66" s="278">
        <f>$G66*'2026 Labor Alloc %'!W66</f>
        <v>0</v>
      </c>
      <c r="AB66" s="278">
        <f>$G66*'2026 Labor Alloc %'!X66</f>
        <v>0</v>
      </c>
      <c r="AC66" s="278">
        <f>$G66*'2026 Labor Alloc %'!Y66</f>
        <v>42090.126000000004</v>
      </c>
      <c r="AD66" s="278">
        <f>$G66*'2026 Labor Alloc %'!Z66</f>
        <v>0</v>
      </c>
      <c r="AE66" s="278">
        <f>$G66*'2026 Labor Alloc %'!AA66</f>
        <v>0</v>
      </c>
      <c r="AF66" s="278">
        <f>$G66*'2026 Labor Alloc %'!AB66</f>
        <v>0</v>
      </c>
      <c r="AG66" s="278">
        <f>$G66*'2026 Labor Alloc %'!AC66</f>
        <v>0</v>
      </c>
      <c r="AH66" s="278">
        <f>$G66*'2026 Labor Alloc %'!AD66</f>
        <v>0</v>
      </c>
      <c r="AI66" s="278">
        <f>$G66*'2026 Labor Alloc %'!AE66</f>
        <v>0</v>
      </c>
      <c r="AJ66" s="278">
        <f>$G66*'2026 Labor Alloc %'!AF66</f>
        <v>0</v>
      </c>
      <c r="AK66" s="278">
        <f>$G66*'2026 Labor Alloc %'!AG66</f>
        <v>0</v>
      </c>
      <c r="AL66" s="278">
        <f>$G66*'2026 Labor Alloc %'!AH66</f>
        <v>0</v>
      </c>
      <c r="AM66" s="278">
        <f>$G66*'2026 Labor Alloc %'!AI66</f>
        <v>0</v>
      </c>
      <c r="AN66" s="278">
        <f>$G66*'2026 Labor Alloc %'!AJ66</f>
        <v>0</v>
      </c>
      <c r="AO66" s="278">
        <f>$G66*'2026 Labor Alloc %'!AK66</f>
        <v>0</v>
      </c>
      <c r="AP66" s="278">
        <f>$G66*'2026 Labor Alloc %'!AL66</f>
        <v>0</v>
      </c>
      <c r="AQ66" s="278">
        <f>$G66*'2026 Labor Alloc %'!AM66</f>
        <v>0</v>
      </c>
      <c r="AR66" s="278">
        <f>$G66*'2026 Labor Alloc %'!AN66</f>
        <v>0</v>
      </c>
      <c r="AS66" s="278">
        <f>$G66*'2026 Labor Alloc %'!AO66</f>
        <v>0</v>
      </c>
      <c r="AT66" s="278">
        <f>$G66*'2026 Labor Alloc %'!AP66</f>
        <v>0</v>
      </c>
      <c r="AU66" s="278">
        <f>$G66*'2026 Labor Alloc %'!AQ66</f>
        <v>0</v>
      </c>
      <c r="AV66" s="278">
        <f>$G66*'2026 Labor Alloc %'!AR66</f>
        <v>0</v>
      </c>
      <c r="AW66" s="278">
        <f>$G66*'2026 Labor Alloc %'!AS66</f>
        <v>0</v>
      </c>
      <c r="AX66" s="278">
        <f>$G66*'2026 Labor Alloc %'!AT66</f>
        <v>0</v>
      </c>
      <c r="AY66" s="278">
        <f>$G66*'2026 Labor Alloc %'!AU66</f>
        <v>0</v>
      </c>
      <c r="AZ66" s="278">
        <f t="shared" si="1"/>
        <v>42090.126000000004</v>
      </c>
      <c r="BA66" s="278">
        <f t="shared" si="2"/>
        <v>0</v>
      </c>
      <c r="BD66" s="123"/>
    </row>
    <row r="67" spans="1:57" ht="12.75">
      <c r="A67" s="66">
        <v>256</v>
      </c>
      <c r="B67" s="66" t="str">
        <f>'Comp 25-26'!A63</f>
        <v>Vinciguerra, Lucia</v>
      </c>
      <c r="C67" s="66"/>
      <c r="D67" s="66" t="str">
        <f>'Comp 25-26'!C63</f>
        <v>Medicaid Benefits Counselor</v>
      </c>
      <c r="E67" s="66"/>
      <c r="F67" s="66"/>
      <c r="G67" s="74">
        <f>'Comp 25-26'!T63</f>
        <v>43284.028612500006</v>
      </c>
      <c r="H67" s="278">
        <f>$G67*'2026 Labor Alloc %'!D67</f>
        <v>0</v>
      </c>
      <c r="I67" s="278">
        <f>$G67*'2026 Labor Alloc %'!E67</f>
        <v>0</v>
      </c>
      <c r="J67" s="278">
        <f>$G67*'2026 Labor Alloc %'!F67</f>
        <v>0</v>
      </c>
      <c r="K67" s="278">
        <f>$G67*'2026 Labor Alloc %'!G67</f>
        <v>0</v>
      </c>
      <c r="L67" s="278">
        <f>$G67*'2026 Labor Alloc %'!H67</f>
        <v>0</v>
      </c>
      <c r="M67" s="278">
        <f>$G67*'2026 Labor Alloc %'!I67</f>
        <v>0</v>
      </c>
      <c r="N67" s="278">
        <f>$G67*'2026 Labor Alloc %'!J67</f>
        <v>0</v>
      </c>
      <c r="O67" s="278">
        <f>$G67*'2026 Labor Alloc %'!K67</f>
        <v>0</v>
      </c>
      <c r="P67" s="278">
        <f>$G67*'2026 Labor Alloc %'!L67</f>
        <v>0</v>
      </c>
      <c r="Q67" s="278">
        <f>$G67*'2026 Labor Alloc %'!M67</f>
        <v>0</v>
      </c>
      <c r="R67" s="278">
        <f>$G67*'2026 Labor Alloc %'!N67</f>
        <v>0</v>
      </c>
      <c r="S67" s="278">
        <f>$G67*'2026 Labor Alloc %'!O67</f>
        <v>0</v>
      </c>
      <c r="T67" s="278">
        <f>$G67*'2026 Labor Alloc %'!P67</f>
        <v>0</v>
      </c>
      <c r="U67" s="278">
        <f>$G67*'2026 Labor Alloc %'!Q67</f>
        <v>0</v>
      </c>
      <c r="V67" s="278">
        <f>$G67*'2026 Labor Alloc %'!R67</f>
        <v>0</v>
      </c>
      <c r="W67" s="278">
        <f>$G67*'2026 Labor Alloc %'!S67</f>
        <v>0</v>
      </c>
      <c r="X67" s="278">
        <f>$G67*'2026 Labor Alloc %'!T67</f>
        <v>0</v>
      </c>
      <c r="Y67" s="278">
        <f>$G67*'2026 Labor Alloc %'!U67</f>
        <v>0</v>
      </c>
      <c r="Z67" s="278">
        <f>$G67*'2026 Labor Alloc %'!V67</f>
        <v>0</v>
      </c>
      <c r="AA67" s="278">
        <f>$G67*'2026 Labor Alloc %'!W67</f>
        <v>0</v>
      </c>
      <c r="AB67" s="278">
        <f>$G67*'2026 Labor Alloc %'!X67</f>
        <v>0</v>
      </c>
      <c r="AC67" s="278">
        <f>$G67*'2026 Labor Alloc %'!Y67</f>
        <v>43284.028612500006</v>
      </c>
      <c r="AD67" s="278">
        <f>$G67*'2026 Labor Alloc %'!Z67</f>
        <v>0</v>
      </c>
      <c r="AE67" s="278">
        <f>$G67*'2026 Labor Alloc %'!AA67</f>
        <v>0</v>
      </c>
      <c r="AF67" s="278">
        <f>$G67*'2026 Labor Alloc %'!AB67</f>
        <v>0</v>
      </c>
      <c r="AG67" s="278">
        <f>$G67*'2026 Labor Alloc %'!AC67</f>
        <v>0</v>
      </c>
      <c r="AH67" s="278">
        <f>$G67*'2026 Labor Alloc %'!AD67</f>
        <v>0</v>
      </c>
      <c r="AI67" s="278">
        <f>$G67*'2026 Labor Alloc %'!AE67</f>
        <v>0</v>
      </c>
      <c r="AJ67" s="278">
        <f>$G67*'2026 Labor Alloc %'!AF67</f>
        <v>0</v>
      </c>
      <c r="AK67" s="278">
        <f>$G67*'2026 Labor Alloc %'!AG67</f>
        <v>0</v>
      </c>
      <c r="AL67" s="278">
        <f>$G67*'2026 Labor Alloc %'!AH67</f>
        <v>0</v>
      </c>
      <c r="AM67" s="278">
        <f>$G67*'2026 Labor Alloc %'!AI67</f>
        <v>0</v>
      </c>
      <c r="AN67" s="278">
        <f>$G67*'2026 Labor Alloc %'!AJ67</f>
        <v>0</v>
      </c>
      <c r="AO67" s="278">
        <f>$G67*'2026 Labor Alloc %'!AK67</f>
        <v>0</v>
      </c>
      <c r="AP67" s="278">
        <f>$G67*'2026 Labor Alloc %'!AL67</f>
        <v>0</v>
      </c>
      <c r="AQ67" s="278">
        <f>$G67*'2026 Labor Alloc %'!AM67</f>
        <v>0</v>
      </c>
      <c r="AR67" s="278">
        <f>$G67*'2026 Labor Alloc %'!AN67</f>
        <v>0</v>
      </c>
      <c r="AS67" s="278">
        <f>$G67*'2026 Labor Alloc %'!AO67</f>
        <v>0</v>
      </c>
      <c r="AT67" s="278">
        <f>$G67*'2026 Labor Alloc %'!AP67</f>
        <v>0</v>
      </c>
      <c r="AU67" s="278">
        <f>$G67*'2026 Labor Alloc %'!AQ67</f>
        <v>0</v>
      </c>
      <c r="AV67" s="278">
        <f>$G67*'2026 Labor Alloc %'!AR67</f>
        <v>0</v>
      </c>
      <c r="AW67" s="278">
        <f>$G67*'2026 Labor Alloc %'!AS67</f>
        <v>0</v>
      </c>
      <c r="AX67" s="278">
        <f>$G67*'2026 Labor Alloc %'!AT67</f>
        <v>0</v>
      </c>
      <c r="AY67" s="278">
        <f>$G67*'2026 Labor Alloc %'!AU67</f>
        <v>0</v>
      </c>
      <c r="AZ67" s="278">
        <f t="shared" si="1"/>
        <v>43284.028612500006</v>
      </c>
      <c r="BA67" s="278">
        <f t="shared" si="2"/>
        <v>0</v>
      </c>
      <c r="BD67" s="123"/>
    </row>
    <row r="68" spans="1:57" ht="12.75">
      <c r="A68" s="66">
        <v>259</v>
      </c>
      <c r="B68" s="66" t="str">
        <f>'Comp 25-26'!A64</f>
        <v>Carson, Donna</v>
      </c>
      <c r="C68" s="66"/>
      <c r="D68" s="66" t="str">
        <f>'Comp 25-26'!C64</f>
        <v>Receptionist</v>
      </c>
      <c r="E68" s="66"/>
      <c r="F68" s="66"/>
      <c r="G68" s="74">
        <f>'Comp 25-26'!T64</f>
        <v>28329.892500000002</v>
      </c>
      <c r="H68" s="278">
        <f>$G68*'2026 Labor Alloc %'!D68</f>
        <v>28329.892500000002</v>
      </c>
      <c r="I68" s="278">
        <f>$G68*'2026 Labor Alloc %'!E68</f>
        <v>0</v>
      </c>
      <c r="J68" s="278">
        <f>$G68*'2026 Labor Alloc %'!F68</f>
        <v>0</v>
      </c>
      <c r="K68" s="278">
        <f>$G68*'2026 Labor Alloc %'!G68</f>
        <v>0</v>
      </c>
      <c r="L68" s="278">
        <f>$G68*'2026 Labor Alloc %'!H68</f>
        <v>0</v>
      </c>
      <c r="M68" s="278">
        <f>$G68*'2026 Labor Alloc %'!I68</f>
        <v>0</v>
      </c>
      <c r="N68" s="278">
        <f>$G68*'2026 Labor Alloc %'!J68</f>
        <v>0</v>
      </c>
      <c r="O68" s="278">
        <f>$G68*'2026 Labor Alloc %'!K68</f>
        <v>0</v>
      </c>
      <c r="P68" s="278">
        <f>$G68*'2026 Labor Alloc %'!L68</f>
        <v>0</v>
      </c>
      <c r="Q68" s="278">
        <f>$G68*'2026 Labor Alloc %'!M68</f>
        <v>0</v>
      </c>
      <c r="R68" s="278">
        <f>$G68*'2026 Labor Alloc %'!N68</f>
        <v>0</v>
      </c>
      <c r="S68" s="278">
        <f>$G68*'2026 Labor Alloc %'!O68</f>
        <v>0</v>
      </c>
      <c r="T68" s="278">
        <f>$G68*'2026 Labor Alloc %'!P68</f>
        <v>0</v>
      </c>
      <c r="U68" s="278">
        <f>$G68*'2026 Labor Alloc %'!Q68</f>
        <v>0</v>
      </c>
      <c r="V68" s="278">
        <f>$G68*'2026 Labor Alloc %'!R68</f>
        <v>0</v>
      </c>
      <c r="W68" s="278">
        <f>$G68*'2026 Labor Alloc %'!S68</f>
        <v>0</v>
      </c>
      <c r="X68" s="278">
        <f>$G68*'2026 Labor Alloc %'!T68</f>
        <v>0</v>
      </c>
      <c r="Y68" s="278">
        <f>$G68*'2026 Labor Alloc %'!U68</f>
        <v>0</v>
      </c>
      <c r="Z68" s="278">
        <f>$G68*'2026 Labor Alloc %'!V68</f>
        <v>0</v>
      </c>
      <c r="AA68" s="278">
        <f>$G68*'2026 Labor Alloc %'!W68</f>
        <v>0</v>
      </c>
      <c r="AB68" s="278">
        <f>$G68*'2026 Labor Alloc %'!X68</f>
        <v>0</v>
      </c>
      <c r="AC68" s="278">
        <f>$G68*'2026 Labor Alloc %'!Y68</f>
        <v>0</v>
      </c>
      <c r="AD68" s="278">
        <f>$G68*'2026 Labor Alloc %'!Z68</f>
        <v>0</v>
      </c>
      <c r="AE68" s="278">
        <f>$G68*'2026 Labor Alloc %'!AA68</f>
        <v>0</v>
      </c>
      <c r="AF68" s="278">
        <f>$G68*'2026 Labor Alloc %'!AB68</f>
        <v>0</v>
      </c>
      <c r="AG68" s="278">
        <f>$G68*'2026 Labor Alloc %'!AC68</f>
        <v>0</v>
      </c>
      <c r="AH68" s="278">
        <f>$G68*'2026 Labor Alloc %'!AD68</f>
        <v>0</v>
      </c>
      <c r="AI68" s="278">
        <f>$G68*'2026 Labor Alloc %'!AE68</f>
        <v>0</v>
      </c>
      <c r="AJ68" s="278">
        <f>$G68*'2026 Labor Alloc %'!AF68</f>
        <v>0</v>
      </c>
      <c r="AK68" s="278">
        <f>$G68*'2026 Labor Alloc %'!AG68</f>
        <v>0</v>
      </c>
      <c r="AL68" s="278">
        <f>$G68*'2026 Labor Alloc %'!AH68</f>
        <v>0</v>
      </c>
      <c r="AM68" s="278">
        <f>$G68*'2026 Labor Alloc %'!AI68</f>
        <v>0</v>
      </c>
      <c r="AN68" s="278">
        <f>$G68*'2026 Labor Alloc %'!AJ68</f>
        <v>0</v>
      </c>
      <c r="AO68" s="278">
        <f>$G68*'2026 Labor Alloc %'!AK68</f>
        <v>0</v>
      </c>
      <c r="AP68" s="278">
        <f>$G68*'2026 Labor Alloc %'!AL68</f>
        <v>0</v>
      </c>
      <c r="AQ68" s="278">
        <f>$G68*'2026 Labor Alloc %'!AM68</f>
        <v>0</v>
      </c>
      <c r="AR68" s="278">
        <f>$G68*'2026 Labor Alloc %'!AN68</f>
        <v>0</v>
      </c>
      <c r="AS68" s="278">
        <f>$G68*'2026 Labor Alloc %'!AO68</f>
        <v>0</v>
      </c>
      <c r="AT68" s="278">
        <f>$G68*'2026 Labor Alloc %'!AP68</f>
        <v>0</v>
      </c>
      <c r="AU68" s="278">
        <f>$G68*'2026 Labor Alloc %'!AQ68</f>
        <v>0</v>
      </c>
      <c r="AV68" s="278">
        <f>$G68*'2026 Labor Alloc %'!AR68</f>
        <v>0</v>
      </c>
      <c r="AW68" s="278">
        <f>$G68*'2026 Labor Alloc %'!AS68</f>
        <v>0</v>
      </c>
      <c r="AX68" s="278">
        <f>$G68*'2026 Labor Alloc %'!AT68</f>
        <v>0</v>
      </c>
      <c r="AY68" s="278">
        <f>$G68*'2026 Labor Alloc %'!AU68</f>
        <v>0</v>
      </c>
      <c r="AZ68" s="278">
        <f t="shared" si="1"/>
        <v>28329.892500000002</v>
      </c>
      <c r="BA68" s="278">
        <f t="shared" si="2"/>
        <v>0</v>
      </c>
      <c r="BD68" s="123"/>
    </row>
    <row r="69" spans="1:57" ht="12.75">
      <c r="A69" s="66">
        <v>260</v>
      </c>
      <c r="B69" s="66" t="str">
        <f>'Comp 25-26'!A65</f>
        <v>Waller, Zakiya</v>
      </c>
      <c r="C69" s="66"/>
      <c r="D69" s="66" t="str">
        <f>'Comp 25-26'!C65</f>
        <v>Senior Accountant</v>
      </c>
      <c r="E69" s="66"/>
      <c r="F69" s="66"/>
      <c r="G69" s="74">
        <f>'Comp 25-26'!T65</f>
        <v>79262.99208750001</v>
      </c>
      <c r="H69" s="278">
        <f>$G69*'2026 Labor Alloc %'!D69</f>
        <v>46765.165331625001</v>
      </c>
      <c r="I69" s="278">
        <f>$G69*'2026 Labor Alloc %'!E69</f>
        <v>2377.889762625</v>
      </c>
      <c r="J69" s="278">
        <f>$G69*'2026 Labor Alloc %'!F69</f>
        <v>0</v>
      </c>
      <c r="K69" s="278">
        <f>$G69*'2026 Labor Alloc %'!G69</f>
        <v>3963.1496043750008</v>
      </c>
      <c r="L69" s="278">
        <f>$G69*'2026 Labor Alloc %'!H69</f>
        <v>0</v>
      </c>
      <c r="M69" s="278">
        <f>$G69*'2026 Labor Alloc %'!I69</f>
        <v>3963.1496043750008</v>
      </c>
      <c r="N69" s="278">
        <f>$G69*'2026 Labor Alloc %'!J69</f>
        <v>3963.1496043750008</v>
      </c>
      <c r="O69" s="278">
        <f>$G69*'2026 Labor Alloc %'!K69</f>
        <v>0</v>
      </c>
      <c r="P69" s="278">
        <f>$G69*'2026 Labor Alloc %'!L69</f>
        <v>0</v>
      </c>
      <c r="Q69" s="278">
        <f>$G69*'2026 Labor Alloc %'!M69</f>
        <v>0</v>
      </c>
      <c r="R69" s="278">
        <f>$G69*'2026 Labor Alloc %'!N69</f>
        <v>0</v>
      </c>
      <c r="S69" s="278">
        <f>$G69*'2026 Labor Alloc %'!O69</f>
        <v>15852.598417500003</v>
      </c>
      <c r="T69" s="278">
        <f>$G69*'2026 Labor Alloc %'!P69</f>
        <v>0</v>
      </c>
      <c r="U69" s="278">
        <f>$G69*'2026 Labor Alloc %'!Q69</f>
        <v>0</v>
      </c>
      <c r="V69" s="278">
        <f>$G69*'2026 Labor Alloc %'!R69</f>
        <v>0</v>
      </c>
      <c r="W69" s="278">
        <f>$G69*'2026 Labor Alloc %'!S69</f>
        <v>0</v>
      </c>
      <c r="X69" s="278">
        <f>$G69*'2026 Labor Alloc %'!T69</f>
        <v>0</v>
      </c>
      <c r="Y69" s="278">
        <f>$G69*'2026 Labor Alloc %'!U69</f>
        <v>0</v>
      </c>
      <c r="Z69" s="278">
        <f>$G69*'2026 Labor Alloc %'!V69</f>
        <v>2377.889762625</v>
      </c>
      <c r="AA69" s="278">
        <f>$G69*'2026 Labor Alloc %'!W69</f>
        <v>0</v>
      </c>
      <c r="AB69" s="278">
        <f>$G69*'2026 Labor Alloc %'!X69</f>
        <v>0</v>
      </c>
      <c r="AC69" s="278">
        <f>$G69*'2026 Labor Alloc %'!Y69</f>
        <v>0</v>
      </c>
      <c r="AD69" s="278">
        <f>$G69*'2026 Labor Alloc %'!Z69</f>
        <v>0</v>
      </c>
      <c r="AE69" s="278">
        <f>$G69*'2026 Labor Alloc %'!AA69</f>
        <v>0</v>
      </c>
      <c r="AF69" s="278">
        <f>$G69*'2026 Labor Alloc %'!AB69</f>
        <v>0</v>
      </c>
      <c r="AG69" s="278">
        <f>$G69*'2026 Labor Alloc %'!AC69</f>
        <v>0</v>
      </c>
      <c r="AH69" s="278">
        <f>$G69*'2026 Labor Alloc %'!AD69</f>
        <v>0</v>
      </c>
      <c r="AI69" s="278">
        <f>$G69*'2026 Labor Alloc %'!AE69</f>
        <v>0</v>
      </c>
      <c r="AJ69" s="278">
        <f>$G69*'2026 Labor Alloc %'!AF69</f>
        <v>0</v>
      </c>
      <c r="AK69" s="278">
        <f>$G69*'2026 Labor Alloc %'!AG69</f>
        <v>0</v>
      </c>
      <c r="AL69" s="278">
        <f>$G69*'2026 Labor Alloc %'!AH69</f>
        <v>0</v>
      </c>
      <c r="AM69" s="278">
        <f>$G69*'2026 Labor Alloc %'!AI69</f>
        <v>0</v>
      </c>
      <c r="AN69" s="278">
        <f>$G69*'2026 Labor Alloc %'!AJ69</f>
        <v>0</v>
      </c>
      <c r="AO69" s="278">
        <f>$G69*'2026 Labor Alloc %'!AK69</f>
        <v>0</v>
      </c>
      <c r="AP69" s="278">
        <f>$G69*'2026 Labor Alloc %'!AL69</f>
        <v>0</v>
      </c>
      <c r="AQ69" s="278">
        <f>$G69*'2026 Labor Alloc %'!AM69</f>
        <v>0</v>
      </c>
      <c r="AR69" s="278">
        <f>$G69*'2026 Labor Alloc %'!AN69</f>
        <v>0</v>
      </c>
      <c r="AS69" s="278">
        <f>$G69*'2026 Labor Alloc %'!AO69</f>
        <v>0</v>
      </c>
      <c r="AT69" s="278">
        <f>$G69*'2026 Labor Alloc %'!AP69</f>
        <v>0</v>
      </c>
      <c r="AU69" s="278">
        <f>$G69*'2026 Labor Alloc %'!AQ69</f>
        <v>0</v>
      </c>
      <c r="AV69" s="278">
        <f>$G69*'2026 Labor Alloc %'!AR69</f>
        <v>0</v>
      </c>
      <c r="AW69" s="278">
        <f>$G69*'2026 Labor Alloc %'!AS69</f>
        <v>0</v>
      </c>
      <c r="AX69" s="278">
        <f>$G69*'2026 Labor Alloc %'!AT69</f>
        <v>0</v>
      </c>
      <c r="AY69" s="278">
        <f>$G69*'2026 Labor Alloc %'!AU69</f>
        <v>0</v>
      </c>
      <c r="AZ69" s="278">
        <f t="shared" si="1"/>
        <v>79262.992087499995</v>
      </c>
      <c r="BA69" s="278">
        <f t="shared" si="2"/>
        <v>0</v>
      </c>
      <c r="BD69" s="123"/>
    </row>
    <row r="70" spans="1:57" ht="12.75">
      <c r="A70" s="66">
        <v>261</v>
      </c>
      <c r="B70" s="66" t="str">
        <f>'Comp 25-26'!A66</f>
        <v>White, Kandice</v>
      </c>
      <c r="C70" s="66"/>
      <c r="D70" s="66" t="str">
        <f>'Comp 25-26'!C66</f>
        <v>Lead Service Analyst</v>
      </c>
      <c r="E70" s="66"/>
      <c r="F70" s="66"/>
      <c r="G70" s="74">
        <f>'Comp 25-26'!T66</f>
        <v>52410.301124999998</v>
      </c>
      <c r="H70" s="278">
        <f>$G70*'2026 Labor Alloc %'!D70</f>
        <v>0</v>
      </c>
      <c r="I70" s="278">
        <f>$G70*'2026 Labor Alloc %'!E70</f>
        <v>0</v>
      </c>
      <c r="J70" s="278">
        <f>$G70*'2026 Labor Alloc %'!F70</f>
        <v>0</v>
      </c>
      <c r="K70" s="278">
        <f>$G70*'2026 Labor Alloc %'!G70</f>
        <v>0</v>
      </c>
      <c r="L70" s="278">
        <f>$G70*'2026 Labor Alloc %'!H70</f>
        <v>0</v>
      </c>
      <c r="M70" s="278">
        <f>$G70*'2026 Labor Alloc %'!I70</f>
        <v>0</v>
      </c>
      <c r="N70" s="278">
        <f>$G70*'2026 Labor Alloc %'!J70</f>
        <v>0</v>
      </c>
      <c r="O70" s="278">
        <f>$G70*'2026 Labor Alloc %'!K70</f>
        <v>24632.841528749999</v>
      </c>
      <c r="P70" s="278">
        <f>$G70*'2026 Labor Alloc %'!L70</f>
        <v>0</v>
      </c>
      <c r="Q70" s="278">
        <f>$G70*'2026 Labor Alloc %'!M70</f>
        <v>0</v>
      </c>
      <c r="R70" s="278">
        <f>$G70*'2026 Labor Alloc %'!N70</f>
        <v>0</v>
      </c>
      <c r="S70" s="278">
        <f>$G70*'2026 Labor Alloc %'!O70</f>
        <v>0</v>
      </c>
      <c r="T70" s="278">
        <f>$G70*'2026 Labor Alloc %'!P70</f>
        <v>0</v>
      </c>
      <c r="U70" s="278">
        <f>$G70*'2026 Labor Alloc %'!Q70</f>
        <v>0</v>
      </c>
      <c r="V70" s="278">
        <f>$G70*'2026 Labor Alloc %'!R70</f>
        <v>1572.3090337499998</v>
      </c>
      <c r="W70" s="278">
        <f>$G70*'2026 Labor Alloc %'!S70</f>
        <v>5765.1331237499999</v>
      </c>
      <c r="X70" s="278">
        <f>$G70*'2026 Labor Alloc %'!T70</f>
        <v>11530.2662475</v>
      </c>
      <c r="Y70" s="278">
        <f>$G70*'2026 Labor Alloc %'!U70</f>
        <v>0</v>
      </c>
      <c r="Z70" s="278">
        <f>$G70*'2026 Labor Alloc %'!V70</f>
        <v>0</v>
      </c>
      <c r="AA70" s="278">
        <f>$G70*'2026 Labor Alloc %'!W70</f>
        <v>0</v>
      </c>
      <c r="AB70" s="278">
        <f>$G70*'2026 Labor Alloc %'!X70</f>
        <v>0</v>
      </c>
      <c r="AC70" s="278">
        <f>$G70*'2026 Labor Alloc %'!Y70</f>
        <v>0</v>
      </c>
      <c r="AD70" s="278">
        <f>$G70*'2026 Labor Alloc %'!Z70</f>
        <v>0</v>
      </c>
      <c r="AE70" s="278">
        <f>$G70*'2026 Labor Alloc %'!AA70</f>
        <v>0</v>
      </c>
      <c r="AF70" s="278">
        <f>$G70*'2026 Labor Alloc %'!AB70</f>
        <v>0</v>
      </c>
      <c r="AG70" s="278">
        <f>$G70*'2026 Labor Alloc %'!AC70</f>
        <v>0</v>
      </c>
      <c r="AH70" s="278">
        <f>$G70*'2026 Labor Alloc %'!AD70</f>
        <v>0</v>
      </c>
      <c r="AI70" s="278">
        <f>$G70*'2026 Labor Alloc %'!AE70</f>
        <v>0</v>
      </c>
      <c r="AJ70" s="278">
        <f>$G70*'2026 Labor Alloc %'!AF70</f>
        <v>0</v>
      </c>
      <c r="AK70" s="278">
        <f>$G70*'2026 Labor Alloc %'!AG70</f>
        <v>0</v>
      </c>
      <c r="AL70" s="278">
        <f>$G70*'2026 Labor Alloc %'!AH70</f>
        <v>0</v>
      </c>
      <c r="AM70" s="278">
        <f>$G70*'2026 Labor Alloc %'!AI70</f>
        <v>0</v>
      </c>
      <c r="AN70" s="278">
        <f>$G70*'2026 Labor Alloc %'!AJ70</f>
        <v>0</v>
      </c>
      <c r="AO70" s="278">
        <f>$G70*'2026 Labor Alloc %'!AK70</f>
        <v>0</v>
      </c>
      <c r="AP70" s="278">
        <f>$G70*'2026 Labor Alloc %'!AL70</f>
        <v>0</v>
      </c>
      <c r="AQ70" s="278">
        <f>$G70*'2026 Labor Alloc %'!AM70</f>
        <v>0</v>
      </c>
      <c r="AR70" s="278">
        <f>$G70*'2026 Labor Alloc %'!AN70</f>
        <v>0</v>
      </c>
      <c r="AS70" s="278">
        <f>$G70*'2026 Labor Alloc %'!AO70</f>
        <v>0</v>
      </c>
      <c r="AT70" s="278">
        <f>$G70*'2026 Labor Alloc %'!AP70</f>
        <v>0</v>
      </c>
      <c r="AU70" s="278">
        <f>$G70*'2026 Labor Alloc %'!AQ70</f>
        <v>8909.7511912499995</v>
      </c>
      <c r="AV70" s="278">
        <f>$G70*'2026 Labor Alloc %'!AR70</f>
        <v>0</v>
      </c>
      <c r="AW70" s="278">
        <f>$G70*'2026 Labor Alloc %'!AS70</f>
        <v>0</v>
      </c>
      <c r="AX70" s="278">
        <f>$G70*'2026 Labor Alloc %'!AT70</f>
        <v>0</v>
      </c>
      <c r="AY70" s="278">
        <f>$G70*'2026 Labor Alloc %'!AU70</f>
        <v>0</v>
      </c>
      <c r="AZ70" s="278">
        <f t="shared" si="1"/>
        <v>52410.301124999991</v>
      </c>
      <c r="BA70" s="278">
        <f t="shared" ref="BA70:BA74" si="3">G70-AZ70</f>
        <v>0</v>
      </c>
      <c r="BD70" s="123"/>
    </row>
    <row r="71" spans="1:57" ht="13.5" customHeight="1">
      <c r="A71" s="66">
        <v>262</v>
      </c>
      <c r="B71" s="66" t="str">
        <f>'Comp 25-26'!A67</f>
        <v>Iliana Hade</v>
      </c>
      <c r="C71" s="66"/>
      <c r="D71" s="66" t="str">
        <f>'Comp 25-26'!C67</f>
        <v>Intake Specialist</v>
      </c>
      <c r="E71" s="66"/>
      <c r="F71" s="66"/>
      <c r="G71" s="74">
        <f>'Comp 25-26'!T67</f>
        <v>42494.838750000003</v>
      </c>
      <c r="H71" s="278">
        <f>$G71*'2026 Labor Alloc %'!D71</f>
        <v>0</v>
      </c>
      <c r="I71" s="278">
        <f>$G71*'2026 Labor Alloc %'!E71</f>
        <v>0</v>
      </c>
      <c r="J71" s="278">
        <f>$G71*'2026 Labor Alloc %'!F71</f>
        <v>0</v>
      </c>
      <c r="K71" s="278">
        <f>$G71*'2026 Labor Alloc %'!G71</f>
        <v>0</v>
      </c>
      <c r="L71" s="278">
        <f>$G71*'2026 Labor Alloc %'!H71</f>
        <v>0</v>
      </c>
      <c r="M71" s="278">
        <f>$G71*'2026 Labor Alloc %'!I71</f>
        <v>0</v>
      </c>
      <c r="N71" s="278">
        <f>$G71*'2026 Labor Alloc %'!J71</f>
        <v>0</v>
      </c>
      <c r="O71" s="278">
        <f>$G71*'2026 Labor Alloc %'!K71</f>
        <v>32296.077450000001</v>
      </c>
      <c r="P71" s="278">
        <f>$G71*'2026 Labor Alloc %'!L71</f>
        <v>10198.7613</v>
      </c>
      <c r="Q71" s="278">
        <f>$G71*'2026 Labor Alloc %'!M71</f>
        <v>0</v>
      </c>
      <c r="R71" s="278">
        <f>$G71*'2026 Labor Alloc %'!N71</f>
        <v>0</v>
      </c>
      <c r="S71" s="278">
        <f>$G71*'2026 Labor Alloc %'!O71</f>
        <v>0</v>
      </c>
      <c r="T71" s="278">
        <f>$G71*'2026 Labor Alloc %'!P71</f>
        <v>0</v>
      </c>
      <c r="U71" s="278">
        <f>$G71*'2026 Labor Alloc %'!Q71</f>
        <v>0</v>
      </c>
      <c r="V71" s="278">
        <f>$G71*'2026 Labor Alloc %'!R71</f>
        <v>0</v>
      </c>
      <c r="W71" s="278">
        <f>$G71*'2026 Labor Alloc %'!S71</f>
        <v>0</v>
      </c>
      <c r="X71" s="278">
        <f>$G71*'2026 Labor Alloc %'!T71</f>
        <v>0</v>
      </c>
      <c r="Y71" s="278">
        <f>$G71*'2026 Labor Alloc %'!U71</f>
        <v>0</v>
      </c>
      <c r="Z71" s="278">
        <f>$G71*'2026 Labor Alloc %'!V71</f>
        <v>0</v>
      </c>
      <c r="AA71" s="278">
        <f>$G71*'2026 Labor Alloc %'!W71</f>
        <v>0</v>
      </c>
      <c r="AB71" s="278">
        <f>$G71*'2026 Labor Alloc %'!X71</f>
        <v>0</v>
      </c>
      <c r="AC71" s="278">
        <f>$G71*'2026 Labor Alloc %'!Y71</f>
        <v>0</v>
      </c>
      <c r="AD71" s="278">
        <f>$G71*'2026 Labor Alloc %'!Z71</f>
        <v>0</v>
      </c>
      <c r="AE71" s="278">
        <f>$G71*'2026 Labor Alloc %'!AA71</f>
        <v>0</v>
      </c>
      <c r="AF71" s="278">
        <f>$G71*'2026 Labor Alloc %'!AB71</f>
        <v>0</v>
      </c>
      <c r="AG71" s="278">
        <f>$G71*'2026 Labor Alloc %'!AC71</f>
        <v>0</v>
      </c>
      <c r="AH71" s="278">
        <f>$G71*'2026 Labor Alloc %'!AD71</f>
        <v>0</v>
      </c>
      <c r="AI71" s="278">
        <f>$G71*'2026 Labor Alloc %'!AE71</f>
        <v>0</v>
      </c>
      <c r="AJ71" s="278">
        <f>$G71*'2026 Labor Alloc %'!AF71</f>
        <v>0</v>
      </c>
      <c r="AK71" s="278">
        <f>$G71*'2026 Labor Alloc %'!AG71</f>
        <v>0</v>
      </c>
      <c r="AL71" s="278">
        <f>$G71*'2026 Labor Alloc %'!AH71</f>
        <v>0</v>
      </c>
      <c r="AM71" s="278">
        <f>$G71*'2026 Labor Alloc %'!AI71</f>
        <v>0</v>
      </c>
      <c r="AN71" s="278">
        <f>$G71*'2026 Labor Alloc %'!AJ71</f>
        <v>0</v>
      </c>
      <c r="AO71" s="278">
        <f>$G71*'2026 Labor Alloc %'!AK71</f>
        <v>0</v>
      </c>
      <c r="AP71" s="278">
        <f>$G71*'2026 Labor Alloc %'!AL71</f>
        <v>0</v>
      </c>
      <c r="AQ71" s="278">
        <f>$G71*'2026 Labor Alloc %'!AM71</f>
        <v>0</v>
      </c>
      <c r="AR71" s="278">
        <f>$G71*'2026 Labor Alloc %'!AN71</f>
        <v>0</v>
      </c>
      <c r="AS71" s="278">
        <f>$G71*'2026 Labor Alloc %'!AO71</f>
        <v>0</v>
      </c>
      <c r="AT71" s="278">
        <f>$G71*'2026 Labor Alloc %'!AP71</f>
        <v>0</v>
      </c>
      <c r="AU71" s="278">
        <f>$G71*'2026 Labor Alloc %'!AQ71</f>
        <v>0</v>
      </c>
      <c r="AV71" s="278">
        <f>$G71*'2026 Labor Alloc %'!AR71</f>
        <v>0</v>
      </c>
      <c r="AW71" s="278">
        <f>$G71*'2026 Labor Alloc %'!AS71</f>
        <v>0</v>
      </c>
      <c r="AX71" s="278">
        <f>$G71*'2026 Labor Alloc %'!AT71</f>
        <v>0</v>
      </c>
      <c r="AY71" s="278">
        <f>$G71*'2026 Labor Alloc %'!AU71</f>
        <v>0</v>
      </c>
      <c r="AZ71" s="278">
        <f t="shared" ref="AZ71:AZ74" si="4">SUM(H71:AY71)</f>
        <v>42494.838750000003</v>
      </c>
      <c r="BA71" s="278">
        <f t="shared" si="3"/>
        <v>0</v>
      </c>
      <c r="BD71" s="123"/>
    </row>
    <row r="72" spans="1:57" ht="12.75">
      <c r="A72" s="66">
        <v>264</v>
      </c>
      <c r="B72" s="66" t="str">
        <f>'Comp 25-26'!A68</f>
        <v>Winter, Ann Marie</v>
      </c>
      <c r="C72" s="66"/>
      <c r="D72" s="66" t="str">
        <f>'Comp 25-26'!C68</f>
        <v>Executive Director</v>
      </c>
      <c r="E72" s="66"/>
      <c r="F72" s="66"/>
      <c r="G72" s="74">
        <f>'Comp 25-26'!T68</f>
        <v>161561.32980000001</v>
      </c>
      <c r="H72" s="278">
        <f>$G72*'2026 Labor Alloc %'!D72</f>
        <v>101783.637774</v>
      </c>
      <c r="I72" s="278">
        <f>$G72*'2026 Labor Alloc %'!E72</f>
        <v>0</v>
      </c>
      <c r="J72" s="278">
        <f>$G72*'2026 Labor Alloc %'!F72</f>
        <v>0</v>
      </c>
      <c r="K72" s="278">
        <f>$G72*'2026 Labor Alloc %'!G72</f>
        <v>0</v>
      </c>
      <c r="L72" s="278">
        <f>$G72*'2026 Labor Alloc %'!H72</f>
        <v>0</v>
      </c>
      <c r="M72" s="278">
        <f>$G72*'2026 Labor Alloc %'!I72</f>
        <v>0</v>
      </c>
      <c r="N72" s="278">
        <f>$G72*'2026 Labor Alloc %'!J72</f>
        <v>0</v>
      </c>
      <c r="O72" s="278">
        <f>$G72*'2026 Labor Alloc %'!K72</f>
        <v>0</v>
      </c>
      <c r="P72" s="278">
        <f>$G72*'2026 Labor Alloc %'!L72</f>
        <v>0</v>
      </c>
      <c r="Q72" s="278">
        <f>$G72*'2026 Labor Alloc %'!M72</f>
        <v>0</v>
      </c>
      <c r="R72" s="278">
        <f>$G72*'2026 Labor Alloc %'!N72</f>
        <v>11309.293086000001</v>
      </c>
      <c r="S72" s="278">
        <f>$G72*'2026 Labor Alloc %'!O72</f>
        <v>40390.332450000002</v>
      </c>
      <c r="T72" s="278">
        <f>$G72*'2026 Labor Alloc %'!P72</f>
        <v>0</v>
      </c>
      <c r="U72" s="278">
        <f>$G72*'2026 Labor Alloc %'!Q72</f>
        <v>0</v>
      </c>
      <c r="V72" s="278">
        <f>$G72*'2026 Labor Alloc %'!R72</f>
        <v>0</v>
      </c>
      <c r="W72" s="278">
        <f>$G72*'2026 Labor Alloc %'!S72</f>
        <v>0</v>
      </c>
      <c r="X72" s="278">
        <f>$G72*'2026 Labor Alloc %'!T72</f>
        <v>0</v>
      </c>
      <c r="Y72" s="278">
        <f>$G72*'2026 Labor Alloc %'!U72</f>
        <v>0</v>
      </c>
      <c r="Z72" s="278">
        <f>$G72*'2026 Labor Alloc %'!V72</f>
        <v>0</v>
      </c>
      <c r="AA72" s="278">
        <f>$G72*'2026 Labor Alloc %'!W72</f>
        <v>0</v>
      </c>
      <c r="AB72" s="278">
        <f>$G72*'2026 Labor Alloc %'!X72</f>
        <v>0</v>
      </c>
      <c r="AC72" s="278">
        <f>$G72*'2026 Labor Alloc %'!Y72</f>
        <v>0</v>
      </c>
      <c r="AD72" s="278">
        <f>$G72*'2026 Labor Alloc %'!Z72</f>
        <v>0</v>
      </c>
      <c r="AE72" s="278">
        <f>$G72*'2026 Labor Alloc %'!AA72</f>
        <v>0</v>
      </c>
      <c r="AF72" s="278">
        <f>$G72*'2026 Labor Alloc %'!AB72</f>
        <v>0</v>
      </c>
      <c r="AG72" s="278">
        <f>$G72*'2026 Labor Alloc %'!AC72</f>
        <v>0</v>
      </c>
      <c r="AH72" s="278">
        <f>$G72*'2026 Labor Alloc %'!AD72</f>
        <v>0</v>
      </c>
      <c r="AI72" s="278">
        <f>$G72*'2026 Labor Alloc %'!AE72</f>
        <v>0</v>
      </c>
      <c r="AJ72" s="278">
        <f>$G72*'2026 Labor Alloc %'!AF72</f>
        <v>0</v>
      </c>
      <c r="AK72" s="278">
        <f>$G72*'2026 Labor Alloc %'!AG72</f>
        <v>0</v>
      </c>
      <c r="AL72" s="278">
        <f>$G72*'2026 Labor Alloc %'!AH72</f>
        <v>0</v>
      </c>
      <c r="AM72" s="278">
        <f>$G72*'2026 Labor Alloc %'!AI72</f>
        <v>0</v>
      </c>
      <c r="AN72" s="278">
        <f>$G72*'2026 Labor Alloc %'!AJ72</f>
        <v>0</v>
      </c>
      <c r="AO72" s="278">
        <f>$G72*'2026 Labor Alloc %'!AK72</f>
        <v>0</v>
      </c>
      <c r="AP72" s="278">
        <f>$G72*'2026 Labor Alloc %'!AL72</f>
        <v>0</v>
      </c>
      <c r="AQ72" s="278">
        <f>$G72*'2026 Labor Alloc %'!AM72</f>
        <v>0</v>
      </c>
      <c r="AR72" s="278">
        <f>$G72*'2026 Labor Alloc %'!AN72</f>
        <v>0</v>
      </c>
      <c r="AS72" s="278">
        <f>$G72*'2026 Labor Alloc %'!AO72</f>
        <v>0</v>
      </c>
      <c r="AT72" s="278">
        <f>$G72*'2026 Labor Alloc %'!AP72</f>
        <v>0</v>
      </c>
      <c r="AU72" s="278">
        <f>$G72*'2026 Labor Alloc %'!AQ72</f>
        <v>0</v>
      </c>
      <c r="AV72" s="278">
        <f>$G72*'2026 Labor Alloc %'!AR72</f>
        <v>0</v>
      </c>
      <c r="AW72" s="278">
        <f>$G72*'2026 Labor Alloc %'!AS72</f>
        <v>0</v>
      </c>
      <c r="AX72" s="278">
        <f>$G72*'2026 Labor Alloc %'!AT72</f>
        <v>8078.0664900000011</v>
      </c>
      <c r="AY72" s="278">
        <f>$G72*'2026 Labor Alloc %'!AU72</f>
        <v>0</v>
      </c>
      <c r="AZ72" s="278">
        <f t="shared" si="4"/>
        <v>161561.32980000001</v>
      </c>
      <c r="BA72" s="278">
        <f t="shared" si="3"/>
        <v>0</v>
      </c>
      <c r="BD72" s="123"/>
    </row>
    <row r="73" spans="1:57" ht="12.75">
      <c r="A73" s="66"/>
      <c r="B73" s="66" t="s">
        <v>393</v>
      </c>
      <c r="C73" s="66"/>
      <c r="D73" s="66" t="s">
        <v>415</v>
      </c>
      <c r="E73" s="66"/>
      <c r="F73" s="66"/>
      <c r="G73" s="74">
        <f>'Comp 25-26'!T69</f>
        <v>41257.125</v>
      </c>
      <c r="H73" s="278">
        <f>$G73*'2026 Labor Alloc %'!D73</f>
        <v>0</v>
      </c>
      <c r="I73" s="278">
        <f>$G73*'2026 Labor Alloc %'!E73</f>
        <v>0</v>
      </c>
      <c r="J73" s="278">
        <f>$G73*'2026 Labor Alloc %'!F73</f>
        <v>0</v>
      </c>
      <c r="K73" s="278">
        <f>$G73*'2026 Labor Alloc %'!G73</f>
        <v>0</v>
      </c>
      <c r="L73" s="278">
        <f>$G73*'2026 Labor Alloc %'!H73</f>
        <v>0</v>
      </c>
      <c r="M73" s="278">
        <f>$G73*'2026 Labor Alloc %'!I73</f>
        <v>0</v>
      </c>
      <c r="N73" s="278">
        <f>$G73*'2026 Labor Alloc %'!J73</f>
        <v>0</v>
      </c>
      <c r="O73" s="278">
        <f>$G73*'2026 Labor Alloc %'!K73</f>
        <v>31355.415000000001</v>
      </c>
      <c r="P73" s="278">
        <f>$G73*'2026 Labor Alloc %'!L73</f>
        <v>9901.7099999999991</v>
      </c>
      <c r="Q73" s="278">
        <f>$G73*'2026 Labor Alloc %'!M73</f>
        <v>0</v>
      </c>
      <c r="R73" s="278">
        <f>$G73*'2026 Labor Alloc %'!N73</f>
        <v>0</v>
      </c>
      <c r="S73" s="278">
        <f>$G73*'2026 Labor Alloc %'!O73</f>
        <v>0</v>
      </c>
      <c r="T73" s="278">
        <f>$G73*'2026 Labor Alloc %'!P73</f>
        <v>0</v>
      </c>
      <c r="U73" s="278">
        <f>$G73*'2026 Labor Alloc %'!Q73</f>
        <v>0</v>
      </c>
      <c r="V73" s="278">
        <f>$G73*'2026 Labor Alloc %'!R73</f>
        <v>0</v>
      </c>
      <c r="W73" s="278">
        <f>$G73*'2026 Labor Alloc %'!S73</f>
        <v>0</v>
      </c>
      <c r="X73" s="278">
        <f>$G73*'2026 Labor Alloc %'!T73</f>
        <v>0</v>
      </c>
      <c r="Y73" s="278">
        <f>$G73*'2026 Labor Alloc %'!U73</f>
        <v>0</v>
      </c>
      <c r="Z73" s="278">
        <f>$G73*'2026 Labor Alloc %'!V73</f>
        <v>0</v>
      </c>
      <c r="AA73" s="278">
        <f>$G73*'2026 Labor Alloc %'!W73</f>
        <v>0</v>
      </c>
      <c r="AB73" s="278">
        <f>$G73*'2026 Labor Alloc %'!X73</f>
        <v>0</v>
      </c>
      <c r="AC73" s="278">
        <f>$G73*'2026 Labor Alloc %'!Y73</f>
        <v>0</v>
      </c>
      <c r="AD73" s="278">
        <f>$G73*'2026 Labor Alloc %'!Z73</f>
        <v>0</v>
      </c>
      <c r="AE73" s="278">
        <f>$G73*'2026 Labor Alloc %'!AA73</f>
        <v>0</v>
      </c>
      <c r="AF73" s="278">
        <f>$G73*'2026 Labor Alloc %'!AB73</f>
        <v>0</v>
      </c>
      <c r="AG73" s="278">
        <f>$G73*'2026 Labor Alloc %'!AC73</f>
        <v>0</v>
      </c>
      <c r="AH73" s="278">
        <f>$G73*'2026 Labor Alloc %'!AD73</f>
        <v>0</v>
      </c>
      <c r="AI73" s="278">
        <f>$G73*'2026 Labor Alloc %'!AE73</f>
        <v>0</v>
      </c>
      <c r="AJ73" s="278">
        <f>$G73*'2026 Labor Alloc %'!AF73</f>
        <v>0</v>
      </c>
      <c r="AK73" s="278">
        <f>$G73*'2026 Labor Alloc %'!AG73</f>
        <v>0</v>
      </c>
      <c r="AL73" s="278">
        <f>$G73*'2026 Labor Alloc %'!AH73</f>
        <v>0</v>
      </c>
      <c r="AM73" s="278">
        <f>$G73*'2026 Labor Alloc %'!AI73</f>
        <v>0</v>
      </c>
      <c r="AN73" s="278">
        <f>$G73*'2026 Labor Alloc %'!AJ73</f>
        <v>0</v>
      </c>
      <c r="AO73" s="278">
        <f>$G73*'2026 Labor Alloc %'!AK73</f>
        <v>0</v>
      </c>
      <c r="AP73" s="278">
        <f>$G73*'2026 Labor Alloc %'!AL73</f>
        <v>0</v>
      </c>
      <c r="AQ73" s="278">
        <f>$G73*'2026 Labor Alloc %'!AM73</f>
        <v>0</v>
      </c>
      <c r="AR73" s="278">
        <f>$G73*'2026 Labor Alloc %'!AN73</f>
        <v>0</v>
      </c>
      <c r="AS73" s="278">
        <f>$G73*'2026 Labor Alloc %'!AO73</f>
        <v>0</v>
      </c>
      <c r="AT73" s="278">
        <f>$G73*'2026 Labor Alloc %'!AP73</f>
        <v>0</v>
      </c>
      <c r="AU73" s="278">
        <f>$G73*'2026 Labor Alloc %'!AQ73</f>
        <v>0</v>
      </c>
      <c r="AV73" s="278">
        <f>$G73*'2026 Labor Alloc %'!AR73</f>
        <v>0</v>
      </c>
      <c r="AW73" s="278">
        <f>$G73*'2026 Labor Alloc %'!AS73</f>
        <v>0</v>
      </c>
      <c r="AX73" s="278">
        <f>$G73*'2026 Labor Alloc %'!AT73</f>
        <v>0</v>
      </c>
      <c r="AY73" s="278">
        <f>$G73*'2026 Labor Alloc %'!AU73</f>
        <v>0</v>
      </c>
      <c r="AZ73" s="278">
        <f t="shared" si="4"/>
        <v>41257.125</v>
      </c>
      <c r="BA73" s="278">
        <f t="shared" si="3"/>
        <v>0</v>
      </c>
      <c r="BD73" s="123"/>
    </row>
    <row r="74" spans="1:57" ht="12.75">
      <c r="A74" s="66"/>
      <c r="B74" s="66" t="str">
        <f>'Comp 25-26'!A70</f>
        <v>Vacant</v>
      </c>
      <c r="C74" s="66"/>
      <c r="D74" s="66" t="str">
        <f>'Comp 25-26'!C70</f>
        <v>Chief Operating Officer</v>
      </c>
      <c r="E74" s="66"/>
      <c r="F74" s="66"/>
      <c r="G74" s="74">
        <f>'Comp 25-26'!T70</f>
        <v>115853.93625</v>
      </c>
      <c r="H74" s="278">
        <f>$G74*'2026 Labor Alloc %'!D74</f>
        <v>0</v>
      </c>
      <c r="I74" s="278">
        <f>$G74*'2026 Labor Alloc %'!E74</f>
        <v>3475.6180875</v>
      </c>
      <c r="J74" s="278">
        <f>$G74*'2026 Labor Alloc %'!F74</f>
        <v>0</v>
      </c>
      <c r="K74" s="278">
        <f>$G74*'2026 Labor Alloc %'!G74</f>
        <v>0</v>
      </c>
      <c r="L74" s="278">
        <f>$G74*'2026 Labor Alloc %'!H74</f>
        <v>3475.6180875</v>
      </c>
      <c r="M74" s="278">
        <f>$G74*'2026 Labor Alloc %'!I74</f>
        <v>0</v>
      </c>
      <c r="N74" s="278">
        <f>$G74*'2026 Labor Alloc %'!J74</f>
        <v>11585.393625000001</v>
      </c>
      <c r="O74" s="278">
        <f>$G74*'2026 Labor Alloc %'!K74</f>
        <v>0</v>
      </c>
      <c r="P74" s="278">
        <f>$G74*'2026 Labor Alloc %'!L74</f>
        <v>0</v>
      </c>
      <c r="Q74" s="278">
        <f>$G74*'2026 Labor Alloc %'!M74</f>
        <v>0</v>
      </c>
      <c r="R74" s="278">
        <f>$G74*'2026 Labor Alloc %'!N74</f>
        <v>23170.787250000001</v>
      </c>
      <c r="S74" s="278">
        <f>$G74*'2026 Labor Alloc %'!O74</f>
        <v>23170.787250000001</v>
      </c>
      <c r="T74" s="278">
        <f>$G74*'2026 Labor Alloc %'!P74</f>
        <v>2317.0787249999998</v>
      </c>
      <c r="U74" s="278">
        <f>$G74*'2026 Labor Alloc %'!Q74</f>
        <v>0</v>
      </c>
      <c r="V74" s="278">
        <f>$G74*'2026 Labor Alloc %'!R74</f>
        <v>0</v>
      </c>
      <c r="W74" s="278">
        <f>$G74*'2026 Labor Alloc %'!S74</f>
        <v>11585.393625000001</v>
      </c>
      <c r="X74" s="278">
        <f>$G74*'2026 Labor Alloc %'!T74</f>
        <v>11585.393625000001</v>
      </c>
      <c r="Y74" s="278">
        <f>$G74*'2026 Labor Alloc %'!U74</f>
        <v>0</v>
      </c>
      <c r="Z74" s="278">
        <f>$G74*'2026 Labor Alloc %'!V74</f>
        <v>11585.393625000001</v>
      </c>
      <c r="AA74" s="278">
        <f>$G74*'2026 Labor Alloc %'!W74</f>
        <v>9268.3148999999994</v>
      </c>
      <c r="AB74" s="278">
        <f>$G74*'2026 Labor Alloc %'!X74</f>
        <v>0</v>
      </c>
      <c r="AC74" s="278">
        <f>$G74*'2026 Labor Alloc %'!Y74</f>
        <v>0</v>
      </c>
      <c r="AD74" s="278">
        <f>$G74*'2026 Labor Alloc %'!Z74</f>
        <v>0</v>
      </c>
      <c r="AE74" s="278">
        <f>$G74*'2026 Labor Alloc %'!AA74</f>
        <v>0</v>
      </c>
      <c r="AF74" s="278">
        <f>$G74*'2026 Labor Alloc %'!AB74</f>
        <v>1158.5393624999999</v>
      </c>
      <c r="AG74" s="278">
        <f>$G74*'2026 Labor Alloc %'!AC74</f>
        <v>0</v>
      </c>
      <c r="AH74" s="278">
        <f>$G74*'2026 Labor Alloc %'!AD74</f>
        <v>2317.0787249999998</v>
      </c>
      <c r="AI74" s="278">
        <f>$G74*'2026 Labor Alloc %'!AE74</f>
        <v>1158.5393624999999</v>
      </c>
      <c r="AJ74" s="278">
        <f>$G74*'2026 Labor Alloc %'!AF74</f>
        <v>0</v>
      </c>
      <c r="AK74" s="278">
        <f>$G74*'2026 Labor Alloc %'!AG74</f>
        <v>0</v>
      </c>
      <c r="AL74" s="278">
        <f>$G74*'2026 Labor Alloc %'!AH74</f>
        <v>0</v>
      </c>
      <c r="AM74" s="278">
        <f>$G74*'2026 Labor Alloc %'!AI74</f>
        <v>0</v>
      </c>
      <c r="AN74" s="278">
        <f>$G74*'2026 Labor Alloc %'!AJ74</f>
        <v>0</v>
      </c>
      <c r="AO74" s="278">
        <f>$G74*'2026 Labor Alloc %'!AK74</f>
        <v>0</v>
      </c>
      <c r="AP74" s="278">
        <f>$G74*'2026 Labor Alloc %'!AL74</f>
        <v>0</v>
      </c>
      <c r="AQ74" s="278">
        <f>$G74*'2026 Labor Alloc %'!AM74</f>
        <v>0</v>
      </c>
      <c r="AR74" s="278">
        <f>$G74*'2026 Labor Alloc %'!AN74</f>
        <v>0</v>
      </c>
      <c r="AS74" s="278">
        <f>$G74*'2026 Labor Alloc %'!AO74</f>
        <v>0</v>
      </c>
      <c r="AT74" s="278">
        <f>$G74*'2026 Labor Alloc %'!AP74</f>
        <v>0</v>
      </c>
      <c r="AU74" s="278">
        <f>$G74*'2026 Labor Alloc %'!AQ74</f>
        <v>0</v>
      </c>
      <c r="AV74" s="278">
        <f>$G74*'2026 Labor Alloc %'!AR74</f>
        <v>0</v>
      </c>
      <c r="AW74" s="278">
        <f>$G74*'2026 Labor Alloc %'!AS74</f>
        <v>0</v>
      </c>
      <c r="AX74" s="278">
        <f>$G74*'2026 Labor Alloc %'!AT74</f>
        <v>0</v>
      </c>
      <c r="AY74" s="278">
        <f>$G74*'2026 Labor Alloc %'!AU74</f>
        <v>0</v>
      </c>
      <c r="AZ74" s="278">
        <f t="shared" si="4"/>
        <v>115853.93625</v>
      </c>
      <c r="BA74" s="278">
        <f t="shared" si="3"/>
        <v>0</v>
      </c>
      <c r="BD74" s="123"/>
    </row>
    <row r="75" spans="1:57" ht="12.7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278"/>
      <c r="AK75" s="278"/>
      <c r="AL75" s="278"/>
      <c r="AM75" s="278"/>
      <c r="AN75" s="278"/>
      <c r="AO75" s="54"/>
      <c r="AP75" s="54"/>
      <c r="AQ75" s="54"/>
      <c r="AR75" s="54"/>
      <c r="AS75" s="278"/>
      <c r="AT75" s="278"/>
      <c r="AU75" s="278"/>
      <c r="AV75" s="54"/>
      <c r="AW75" s="54"/>
      <c r="AX75" s="54"/>
      <c r="AY75" s="278"/>
      <c r="AZ75" s="54"/>
      <c r="BA75" s="278"/>
    </row>
    <row r="76" spans="1:57" ht="15.75">
      <c r="A76" s="54"/>
      <c r="B76" s="54"/>
      <c r="C76" s="54"/>
      <c r="D76" s="54"/>
      <c r="E76" s="54"/>
      <c r="F76" s="54"/>
      <c r="G76" s="75">
        <f>SUM(G6:G75)</f>
        <v>4089128.2347015012</v>
      </c>
      <c r="H76" s="75">
        <f t="shared" ref="H76:BA76" si="5">SUM(H6:H75)</f>
        <v>514783.13817056239</v>
      </c>
      <c r="I76" s="75">
        <f t="shared" si="5"/>
        <v>370053.45350697497</v>
      </c>
      <c r="J76" s="75">
        <f t="shared" si="5"/>
        <v>73556.812120999995</v>
      </c>
      <c r="K76" s="75">
        <f t="shared" si="5"/>
        <v>92541.7396305</v>
      </c>
      <c r="L76" s="75">
        <f t="shared" si="5"/>
        <v>36295.393836000003</v>
      </c>
      <c r="M76" s="75">
        <f t="shared" si="5"/>
        <v>103454.494362375</v>
      </c>
      <c r="N76" s="75">
        <f t="shared" si="5"/>
        <v>180588.52430775002</v>
      </c>
      <c r="O76" s="75">
        <f t="shared" si="5"/>
        <v>474519.82223962498</v>
      </c>
      <c r="P76" s="75">
        <f>SUM(P6:P75)</f>
        <v>136959.07138862499</v>
      </c>
      <c r="Q76" s="75">
        <f t="shared" si="5"/>
        <v>14637.80250928125</v>
      </c>
      <c r="R76" s="75">
        <f t="shared" si="5"/>
        <v>118120.62234375</v>
      </c>
      <c r="S76" s="75">
        <f t="shared" si="5"/>
        <v>211478.97562837502</v>
      </c>
      <c r="T76" s="75">
        <f t="shared" si="5"/>
        <v>79319.587039875012</v>
      </c>
      <c r="U76" s="75">
        <f t="shared" si="5"/>
        <v>13366.852707</v>
      </c>
      <c r="V76" s="75">
        <f t="shared" si="5"/>
        <v>58815.646597500003</v>
      </c>
      <c r="W76" s="75">
        <f t="shared" si="5"/>
        <v>44697.812176874999</v>
      </c>
      <c r="X76" s="75">
        <f t="shared" si="5"/>
        <v>51396.119828625</v>
      </c>
      <c r="Y76" s="75">
        <f t="shared" si="5"/>
        <v>121570.61460375</v>
      </c>
      <c r="Z76" s="75">
        <f t="shared" si="5"/>
        <v>22162.509651562501</v>
      </c>
      <c r="AA76" s="75">
        <f t="shared" si="5"/>
        <v>42573.184692499999</v>
      </c>
      <c r="AB76" s="75">
        <f>SUM(AB6:AB75)</f>
        <v>16772.915211</v>
      </c>
      <c r="AC76" s="75">
        <f t="shared" si="5"/>
        <v>266655.82042125001</v>
      </c>
      <c r="AD76" s="75">
        <f t="shared" si="5"/>
        <v>25991.831988750004</v>
      </c>
      <c r="AE76" s="75">
        <f t="shared" si="5"/>
        <v>6392.8425989999996</v>
      </c>
      <c r="AF76" s="75">
        <f t="shared" si="5"/>
        <v>7551.3819614999993</v>
      </c>
      <c r="AG76" s="75">
        <f t="shared" si="5"/>
        <v>3487.0050539999997</v>
      </c>
      <c r="AH76" s="75">
        <f t="shared" si="5"/>
        <v>244536.797739</v>
      </c>
      <c r="AI76" s="75">
        <f t="shared" si="5"/>
        <v>130499.75190646877</v>
      </c>
      <c r="AJ76" s="75">
        <f t="shared" si="5"/>
        <v>31243.544114249999</v>
      </c>
      <c r="AK76" s="75">
        <f t="shared" si="5"/>
        <v>0</v>
      </c>
      <c r="AL76" s="75">
        <f t="shared" si="5"/>
        <v>2282.9950000000003</v>
      </c>
      <c r="AM76" s="75">
        <f t="shared" si="5"/>
        <v>3196.1930000000002</v>
      </c>
      <c r="AN76" s="75">
        <f t="shared" si="5"/>
        <v>9131.9800000000014</v>
      </c>
      <c r="AO76" s="75">
        <f>SUM(AO6:AO75)</f>
        <v>3652.7920000000004</v>
      </c>
      <c r="AP76" s="75">
        <f>SUM(AP6:AP75)</f>
        <v>0</v>
      </c>
      <c r="AQ76" s="75">
        <f>SUM(AQ6:AQ75)</f>
        <v>0</v>
      </c>
      <c r="AR76" s="75">
        <f>SUM(AR6:AR75)</f>
        <v>6204.2464575000004</v>
      </c>
      <c r="AS76" s="75">
        <f t="shared" si="5"/>
        <v>84353.799372124995</v>
      </c>
      <c r="AT76" s="279">
        <f t="shared" si="5"/>
        <v>22669.613458874999</v>
      </c>
      <c r="AU76" s="75">
        <f t="shared" si="5"/>
        <v>236651.84135839995</v>
      </c>
      <c r="AV76" s="75">
        <f t="shared" si="5"/>
        <v>91856.303824999995</v>
      </c>
      <c r="AW76" s="75">
        <f t="shared" si="5"/>
        <v>0</v>
      </c>
      <c r="AX76" s="75">
        <f t="shared" si="5"/>
        <v>61049.906555624999</v>
      </c>
      <c r="AY76" s="75">
        <f t="shared" si="5"/>
        <v>74054.495336249995</v>
      </c>
      <c r="AZ76" s="75">
        <f t="shared" si="5"/>
        <v>4089128.2347015007</v>
      </c>
      <c r="BA76" s="75">
        <f t="shared" si="5"/>
        <v>0</v>
      </c>
      <c r="BC76" s="75">
        <f>AZ76-'Comp 25-26'!T71</f>
        <v>0</v>
      </c>
      <c r="BD76" s="122" t="s">
        <v>710</v>
      </c>
      <c r="BE76" s="122"/>
    </row>
    <row r="77" spans="1:57" ht="12.75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146"/>
      <c r="AU77" s="54"/>
      <c r="AV77" s="54"/>
      <c r="AW77" s="54"/>
      <c r="AX77" s="54"/>
      <c r="AY77" s="54"/>
      <c r="AZ77" s="54"/>
      <c r="BA77" s="54"/>
    </row>
    <row r="78" spans="1:57">
      <c r="H78" s="77">
        <f>H76/$AZ$76+0.15%</f>
        <v>0.1273906810018739</v>
      </c>
      <c r="I78" s="77">
        <f t="shared" ref="I78:AO78" si="6">I76/$AZ$76</f>
        <v>9.0496906007152461E-2</v>
      </c>
      <c r="J78" s="77">
        <f t="shared" si="6"/>
        <v>1.7988384784995502E-2</v>
      </c>
      <c r="K78" s="77">
        <f t="shared" si="6"/>
        <v>2.2631165940252149E-2</v>
      </c>
      <c r="L78" s="77">
        <f t="shared" si="6"/>
        <v>8.8760713171054419E-3</v>
      </c>
      <c r="M78" s="77">
        <f t="shared" si="6"/>
        <v>2.5299889958067555E-2</v>
      </c>
      <c r="N78" s="77">
        <f t="shared" si="6"/>
        <v>4.4163086590247924E-2</v>
      </c>
      <c r="O78" s="77">
        <f t="shared" si="6"/>
        <v>0.11604425075562937</v>
      </c>
      <c r="P78" s="77">
        <f t="shared" si="6"/>
        <v>3.3493464505796496E-2</v>
      </c>
      <c r="Q78" s="77">
        <f t="shared" si="6"/>
        <v>3.5796878134221155E-3</v>
      </c>
      <c r="R78" s="77">
        <f t="shared" si="6"/>
        <v>2.8886504791252311E-2</v>
      </c>
      <c r="S78" s="77">
        <f t="shared" si="6"/>
        <v>5.1717374337567727E-2</v>
      </c>
      <c r="T78" s="77">
        <f t="shared" si="6"/>
        <v>1.9397676591980297E-2</v>
      </c>
      <c r="U78" s="77">
        <f t="shared" si="6"/>
        <v>3.2688758923149195E-3</v>
      </c>
      <c r="V78" s="77">
        <f t="shared" si="6"/>
        <v>1.4383419453167E-2</v>
      </c>
      <c r="W78" s="77">
        <f t="shared" si="6"/>
        <v>1.0930890305067154E-2</v>
      </c>
      <c r="X78" s="77">
        <f t="shared" si="6"/>
        <v>1.2568967486141169E-2</v>
      </c>
      <c r="Y78" s="77">
        <f t="shared" si="6"/>
        <v>2.9730203511855492E-2</v>
      </c>
      <c r="Z78" s="77">
        <f t="shared" si="6"/>
        <v>5.4198617356837004E-3</v>
      </c>
      <c r="AA78" s="77">
        <f t="shared" si="6"/>
        <v>1.0411310736408776E-2</v>
      </c>
      <c r="AB78" s="77">
        <f t="shared" si="6"/>
        <v>4.1018315514442143E-3</v>
      </c>
      <c r="AC78" s="77">
        <f t="shared" si="6"/>
        <v>6.5210921525603718E-2</v>
      </c>
      <c r="AD78" s="77">
        <f t="shared" si="6"/>
        <v>6.356325968986728E-3</v>
      </c>
      <c r="AE78" s="77">
        <f t="shared" si="6"/>
        <v>1.5633754267593092E-3</v>
      </c>
      <c r="AF78" s="77">
        <f t="shared" si="6"/>
        <v>1.8466972733740244E-3</v>
      </c>
      <c r="AG78" s="77">
        <f t="shared" si="6"/>
        <v>8.5275023277780505E-4</v>
      </c>
      <c r="AH78" s="77">
        <f t="shared" si="6"/>
        <v>5.9801694567509882E-2</v>
      </c>
      <c r="AI78" s="77">
        <f t="shared" si="6"/>
        <v>3.1913832097269758E-2</v>
      </c>
      <c r="AJ78" s="77">
        <f t="shared" si="6"/>
        <v>7.6406369086467942E-3</v>
      </c>
      <c r="AK78" s="77">
        <f t="shared" si="6"/>
        <v>0</v>
      </c>
      <c r="AL78" s="77">
        <f t="shared" si="6"/>
        <v>5.5830848752207326E-4</v>
      </c>
      <c r="AM78" s="77">
        <f t="shared" si="6"/>
        <v>7.8163188253090249E-4</v>
      </c>
      <c r="AN78" s="77">
        <f t="shared" si="6"/>
        <v>2.233233950088293E-3</v>
      </c>
      <c r="AO78" s="77">
        <f t="shared" si="6"/>
        <v>8.9329358003531717E-4</v>
      </c>
      <c r="AP78" s="77"/>
      <c r="AQ78" s="77"/>
      <c r="AR78" s="77"/>
      <c r="AS78" s="77">
        <f t="shared" ref="AS78:AY78" si="7">AS76/$AZ$76</f>
        <v>2.0628797760919981E-2</v>
      </c>
      <c r="AT78" s="186">
        <f t="shared" si="7"/>
        <v>5.5438744293940792E-3</v>
      </c>
      <c r="AU78" s="77">
        <f t="shared" si="7"/>
        <v>5.7873421368913151E-2</v>
      </c>
      <c r="AV78" s="77">
        <f t="shared" si="7"/>
        <v>2.2463541995450614E-2</v>
      </c>
      <c r="AW78" s="77">
        <f t="shared" si="7"/>
        <v>0</v>
      </c>
      <c r="AX78" s="77">
        <f t="shared" si="7"/>
        <v>1.4929809742217961E-2</v>
      </c>
      <c r="AY78" s="77">
        <f t="shared" si="7"/>
        <v>1.8110093664415454E-2</v>
      </c>
      <c r="AZ78" s="110">
        <f>SUM(H78:AY78)</f>
        <v>0.99998274592984115</v>
      </c>
      <c r="BC78" s="119"/>
    </row>
    <row r="79" spans="1:57" ht="12.75">
      <c r="Z79" s="54"/>
      <c r="AA79" s="54"/>
      <c r="AB79" s="54"/>
      <c r="AT79" s="187"/>
    </row>
    <row r="80" spans="1:57">
      <c r="H80" s="97">
        <f t="shared" ref="H80:AO80" si="8">H78*$AZ$80</f>
        <v>51511.753095724183</v>
      </c>
      <c r="I80" s="97">
        <f t="shared" si="8"/>
        <v>36593.369636659874</v>
      </c>
      <c r="J80" s="97">
        <f t="shared" si="8"/>
        <v>7273.7913664339349</v>
      </c>
      <c r="K80" s="97">
        <f t="shared" si="8"/>
        <v>9151.1484436250321</v>
      </c>
      <c r="L80" s="97">
        <f t="shared" si="8"/>
        <v>3589.1321920168493</v>
      </c>
      <c r="M80" s="97">
        <f t="shared" si="8"/>
        <v>10230.274888394679</v>
      </c>
      <c r="N80" s="97">
        <f t="shared" si="8"/>
        <v>17857.805567021616</v>
      </c>
      <c r="O80" s="97">
        <f t="shared" si="8"/>
        <v>46923.70545545913</v>
      </c>
      <c r="P80" s="97">
        <f t="shared" si="8"/>
        <v>13543.432379622898</v>
      </c>
      <c r="Q80" s="97">
        <f t="shared" si="8"/>
        <v>1447.4841750948826</v>
      </c>
      <c r="R80" s="97">
        <f t="shared" si="8"/>
        <v>11680.560076317941</v>
      </c>
      <c r="S80" s="97">
        <f t="shared" si="8"/>
        <v>20912.460759957339</v>
      </c>
      <c r="T80" s="97">
        <f t="shared" si="8"/>
        <v>7843.6532356876196</v>
      </c>
      <c r="U80" s="97">
        <f t="shared" si="8"/>
        <v>1321.8041268106124</v>
      </c>
      <c r="V80" s="97">
        <f t="shared" si="8"/>
        <v>5816.0859626213623</v>
      </c>
      <c r="W80" s="97">
        <f t="shared" si="8"/>
        <v>4420.019722657592</v>
      </c>
      <c r="X80" s="97">
        <f t="shared" si="8"/>
        <v>5082.3933487314125</v>
      </c>
      <c r="Y80" s="97">
        <f t="shared" si="8"/>
        <v>12021.718470645468</v>
      </c>
      <c r="Z80" s="97">
        <f t="shared" si="8"/>
        <v>2191.5777303788423</v>
      </c>
      <c r="AA80" s="97">
        <f t="shared" si="8"/>
        <v>4209.9222944640842</v>
      </c>
      <c r="AB80" s="97">
        <f t="shared" si="8"/>
        <v>1658.6184519661806</v>
      </c>
      <c r="AC80" s="97">
        <f t="shared" si="8"/>
        <v>26368.717573007805</v>
      </c>
      <c r="AD80" s="97">
        <f t="shared" si="8"/>
        <v>2570.2468291661594</v>
      </c>
      <c r="AE80" s="97">
        <f t="shared" si="8"/>
        <v>632.16719108333632</v>
      </c>
      <c r="AF80" s="97">
        <f t="shared" si="8"/>
        <v>746.73134047529356</v>
      </c>
      <c r="AG80" s="97">
        <f t="shared" si="8"/>
        <v>344.81846786363803</v>
      </c>
      <c r="AH80" s="97">
        <f t="shared" si="8"/>
        <v>24181.440126080852</v>
      </c>
      <c r="AI80" s="97">
        <f t="shared" si="8"/>
        <v>12904.691508076443</v>
      </c>
      <c r="AJ80" s="97">
        <f t="shared" si="8"/>
        <v>3089.5713786670267</v>
      </c>
      <c r="AK80" s="97">
        <f t="shared" si="8"/>
        <v>0</v>
      </c>
      <c r="AL80" s="97">
        <f t="shared" si="8"/>
        <v>225.75787125324493</v>
      </c>
      <c r="AM80" s="97">
        <f t="shared" si="8"/>
        <v>316.06101975454288</v>
      </c>
      <c r="AN80" s="97">
        <f t="shared" si="8"/>
        <v>903.03148501297972</v>
      </c>
      <c r="AO80" s="97">
        <f t="shared" si="8"/>
        <v>361.21259400519187</v>
      </c>
      <c r="AP80" s="97"/>
      <c r="AQ80" s="97"/>
      <c r="AR80" s="97"/>
      <c r="AS80" s="97">
        <f t="shared" ref="AS80:AY80" si="9">AS78*$AZ$80</f>
        <v>8341.4699455645969</v>
      </c>
      <c r="AT80" s="188">
        <f t="shared" si="9"/>
        <v>2241.7235590132832</v>
      </c>
      <c r="AU80" s="97">
        <f t="shared" si="9"/>
        <v>23401.722707773337</v>
      </c>
      <c r="AV80" s="97">
        <f t="shared" si="9"/>
        <v>9083.3679498743095</v>
      </c>
      <c r="AW80" s="97">
        <f t="shared" si="9"/>
        <v>0</v>
      </c>
      <c r="AX80" s="97">
        <f t="shared" si="9"/>
        <v>6037.024585777639</v>
      </c>
      <c r="AY80" s="97">
        <f t="shared" si="9"/>
        <v>7323.0056236851824</v>
      </c>
      <c r="AZ80" s="189">
        <v>404360.45</v>
      </c>
      <c r="BA80" t="s">
        <v>711</v>
      </c>
    </row>
    <row r="81" spans="8:51" ht="12.75">
      <c r="Z81" s="54"/>
      <c r="AA81" s="54"/>
      <c r="AB81" s="54"/>
      <c r="AT81" s="187"/>
    </row>
    <row r="82" spans="8:51" ht="12.75">
      <c r="Z82" s="54"/>
      <c r="AA82" s="54"/>
      <c r="AB82" s="54"/>
      <c r="AT82" s="187"/>
    </row>
    <row r="83" spans="8:51" ht="12.75"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149"/>
      <c r="AA83" s="149"/>
      <c r="AB83" s="149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190"/>
      <c r="AU83" s="84"/>
      <c r="AV83" s="84"/>
      <c r="AW83" s="84"/>
      <c r="AX83" s="84"/>
      <c r="AY83" s="84"/>
    </row>
    <row r="84" spans="8:51" ht="12.75">
      <c r="Z84" s="54"/>
      <c r="AA84" s="54"/>
      <c r="AB84" s="54"/>
      <c r="AT84" s="187"/>
    </row>
    <row r="85" spans="8:51" ht="12.75">
      <c r="Z85" s="54"/>
      <c r="AA85" s="54"/>
      <c r="AB85" s="54"/>
      <c r="AT85" s="187"/>
    </row>
    <row r="86" spans="8:51" ht="12.75">
      <c r="Z86" s="54"/>
      <c r="AA86" s="54"/>
      <c r="AB86" s="54"/>
      <c r="AT86" s="187"/>
    </row>
    <row r="87" spans="8:51" ht="12.75">
      <c r="Z87" s="54"/>
      <c r="AA87" s="54"/>
      <c r="AB87" s="54"/>
      <c r="AT87" s="187"/>
    </row>
    <row r="88" spans="8:51" ht="12.75">
      <c r="Z88" s="54"/>
      <c r="AA88" s="54"/>
      <c r="AB88" s="54"/>
      <c r="AT88" s="187"/>
    </row>
    <row r="89" spans="8:51" ht="12.75">
      <c r="Z89" s="54"/>
      <c r="AA89" s="54"/>
      <c r="AB89" s="54"/>
      <c r="AT89" s="187"/>
    </row>
    <row r="90" spans="8:51" ht="12.75">
      <c r="Z90" s="54"/>
      <c r="AA90" s="54"/>
      <c r="AB90" s="54"/>
      <c r="AT90" s="187"/>
    </row>
    <row r="91" spans="8:51" ht="12.75">
      <c r="Z91" s="54"/>
      <c r="AA91" s="54"/>
      <c r="AB91" s="54"/>
      <c r="AT91" s="187"/>
    </row>
    <row r="92" spans="8:51" ht="12.75">
      <c r="Z92" s="54"/>
      <c r="AA92" s="54"/>
      <c r="AB92" s="54"/>
      <c r="AT92" s="187"/>
    </row>
    <row r="93" spans="8:51" ht="12.75">
      <c r="Z93" s="54"/>
      <c r="AA93" s="54"/>
      <c r="AB93" s="54"/>
      <c r="AT93" s="187"/>
    </row>
    <row r="94" spans="8:51" ht="12.75">
      <c r="Z94" s="54"/>
      <c r="AA94" s="54"/>
      <c r="AB94" s="54"/>
      <c r="AT94" s="187"/>
    </row>
    <row r="95" spans="8:51" ht="12.75">
      <c r="Z95" s="54"/>
      <c r="AA95" s="54"/>
      <c r="AB95" s="54"/>
      <c r="AT95" s="187"/>
    </row>
    <row r="96" spans="8:51" ht="12.75">
      <c r="Z96" s="54"/>
      <c r="AA96" s="54"/>
      <c r="AB96" s="54"/>
      <c r="AT96" s="187"/>
    </row>
    <row r="97" spans="26:46" ht="12.75">
      <c r="Z97" s="54"/>
      <c r="AA97" s="54"/>
      <c r="AB97" s="54"/>
      <c r="AT97" s="187"/>
    </row>
    <row r="98" spans="26:46" ht="12.75">
      <c r="Z98" s="54"/>
      <c r="AA98" s="54"/>
      <c r="AB98" s="54"/>
      <c r="AT98" s="187"/>
    </row>
    <row r="99" spans="26:46" ht="12.75">
      <c r="Z99" s="54"/>
      <c r="AA99" s="54"/>
      <c r="AB99" s="54"/>
      <c r="AT99" s="187"/>
    </row>
    <row r="100" spans="26:46" ht="12.75">
      <c r="Z100" s="54"/>
      <c r="AA100" s="54"/>
      <c r="AB100" s="54"/>
      <c r="AT100" s="187"/>
    </row>
    <row r="101" spans="26:46" ht="12.75">
      <c r="Z101" s="54"/>
      <c r="AA101" s="54"/>
      <c r="AB101" s="54"/>
      <c r="AT101" s="187"/>
    </row>
    <row r="102" spans="26:46" ht="12.75">
      <c r="Z102" s="54"/>
      <c r="AA102" s="54"/>
      <c r="AB102" s="54"/>
      <c r="AT102" s="187"/>
    </row>
    <row r="103" spans="26:46" ht="12.75">
      <c r="Z103" s="54"/>
      <c r="AA103" s="54"/>
      <c r="AB103" s="54"/>
      <c r="AT103" s="187"/>
    </row>
    <row r="104" spans="26:46" ht="12.75">
      <c r="Z104" s="54"/>
      <c r="AA104" s="54"/>
      <c r="AB104" s="54"/>
      <c r="AT104" s="187"/>
    </row>
    <row r="105" spans="26:46" ht="12.75">
      <c r="Z105" s="54"/>
      <c r="AA105" s="54"/>
      <c r="AB105" s="54"/>
      <c r="AT105" s="187"/>
    </row>
    <row r="106" spans="26:46" ht="12.75">
      <c r="Z106" s="54"/>
      <c r="AA106" s="54"/>
      <c r="AB106" s="54"/>
      <c r="AT106" s="187"/>
    </row>
    <row r="107" spans="26:46" ht="12.75">
      <c r="Z107" s="54"/>
      <c r="AA107" s="54"/>
      <c r="AB107" s="54"/>
      <c r="AT107" s="187"/>
    </row>
    <row r="108" spans="26:46" ht="12.75">
      <c r="Z108" s="54"/>
      <c r="AA108" s="54"/>
      <c r="AB108" s="54"/>
      <c r="AT108" s="187"/>
    </row>
    <row r="109" spans="26:46" ht="12.75">
      <c r="Z109" s="54"/>
      <c r="AA109" s="54"/>
      <c r="AB109" s="54"/>
      <c r="AT109" s="187"/>
    </row>
    <row r="110" spans="26:46" ht="12.75">
      <c r="Z110" s="54"/>
      <c r="AA110" s="54"/>
      <c r="AB110" s="54"/>
      <c r="AT110" s="187"/>
    </row>
    <row r="111" spans="26:46" ht="12.75">
      <c r="Z111" s="54"/>
      <c r="AA111" s="54"/>
      <c r="AB111" s="54"/>
      <c r="AT111" s="187"/>
    </row>
    <row r="112" spans="26:46" ht="12.75">
      <c r="Z112" s="54"/>
      <c r="AA112" s="54"/>
      <c r="AB112" s="54"/>
      <c r="AT112" s="187"/>
    </row>
    <row r="113" spans="26:46" ht="12.75">
      <c r="Z113" s="54"/>
      <c r="AA113" s="54"/>
      <c r="AB113" s="54"/>
      <c r="AT113" s="187"/>
    </row>
    <row r="114" spans="26:46" ht="12.75">
      <c r="Z114" s="54"/>
      <c r="AA114" s="54"/>
      <c r="AB114" s="54"/>
      <c r="AT114" s="187"/>
    </row>
    <row r="115" spans="26:46" ht="12.75">
      <c r="Z115" s="54"/>
      <c r="AA115" s="54"/>
      <c r="AB115" s="54"/>
      <c r="AT115" s="187"/>
    </row>
    <row r="116" spans="26:46" ht="12.75">
      <c r="Z116" s="54"/>
      <c r="AA116" s="54"/>
      <c r="AB116" s="54"/>
      <c r="AT116" s="187"/>
    </row>
    <row r="117" spans="26:46" ht="12.75">
      <c r="Z117" s="54"/>
      <c r="AA117" s="54"/>
      <c r="AB117" s="54"/>
      <c r="AT117" s="187"/>
    </row>
    <row r="118" spans="26:46" ht="12.75">
      <c r="Z118" s="54"/>
      <c r="AA118" s="54"/>
      <c r="AB118" s="54"/>
      <c r="AT118" s="187"/>
    </row>
    <row r="119" spans="26:46" ht="12.75">
      <c r="Z119" s="54"/>
      <c r="AA119" s="54"/>
      <c r="AB119" s="54"/>
      <c r="AT119" s="187"/>
    </row>
    <row r="120" spans="26:46" ht="12.75">
      <c r="Z120" s="54"/>
      <c r="AA120" s="54"/>
      <c r="AB120" s="54"/>
      <c r="AT120" s="187"/>
    </row>
    <row r="121" spans="26:46" ht="12.75">
      <c r="Z121" s="54"/>
      <c r="AA121" s="54"/>
      <c r="AB121" s="54"/>
      <c r="AT121" s="187"/>
    </row>
    <row r="122" spans="26:46" ht="12.75">
      <c r="Z122" s="54"/>
      <c r="AA122" s="54"/>
      <c r="AB122" s="54"/>
      <c r="AT122" s="187"/>
    </row>
    <row r="123" spans="26:46" ht="12.75">
      <c r="Z123" s="54"/>
      <c r="AA123" s="54"/>
      <c r="AB123" s="54"/>
      <c r="AT123" s="187"/>
    </row>
    <row r="124" spans="26:46" ht="12.75">
      <c r="Z124" s="54"/>
      <c r="AA124" s="54"/>
      <c r="AB124" s="54"/>
      <c r="AT124" s="187"/>
    </row>
    <row r="125" spans="26:46" ht="12.75">
      <c r="Z125" s="54"/>
      <c r="AA125" s="54"/>
      <c r="AB125" s="54"/>
      <c r="AT125" s="187"/>
    </row>
    <row r="126" spans="26:46">
      <c r="AT126" s="187"/>
    </row>
  </sheetData>
  <mergeCells count="2">
    <mergeCell ref="H3:N3"/>
    <mergeCell ref="Y3:A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27BEC-EED6-4FE1-90F2-089FD8B7535B}">
  <dimension ref="A1:AV124"/>
  <sheetViews>
    <sheetView zoomScale="120" zoomScaleNormal="120" workbookViewId="0">
      <pane xSplit="3" ySplit="5" topLeftCell="AJ30" activePane="bottomRight" state="frozen"/>
      <selection activeCell="D96" sqref="D96"/>
      <selection pane="topRight" activeCell="D96" sqref="D96"/>
      <selection pane="bottomLeft" activeCell="D96" sqref="D96"/>
      <selection pane="bottomRight" activeCell="D96" sqref="D96"/>
    </sheetView>
  </sheetViews>
  <sheetFormatPr defaultRowHeight="11.25"/>
  <cols>
    <col min="2" max="2" width="29.6640625" customWidth="1"/>
    <col min="3" max="3" width="35" customWidth="1"/>
    <col min="4" max="4" width="13.83203125" customWidth="1"/>
    <col min="5" max="5" width="12.33203125" customWidth="1"/>
    <col min="6" max="6" width="11" customWidth="1"/>
    <col min="7" max="7" width="10.5" customWidth="1"/>
    <col min="8" max="9" width="11.5" customWidth="1"/>
    <col min="10" max="10" width="10.6640625" customWidth="1"/>
    <col min="11" max="11" width="12.5" customWidth="1"/>
    <col min="12" max="12" width="9.83203125" customWidth="1"/>
    <col min="13" max="13" width="8.83203125" customWidth="1"/>
    <col min="14" max="16" width="9.83203125" customWidth="1"/>
    <col min="17" max="17" width="9.1640625" customWidth="1"/>
    <col min="18" max="18" width="12.83203125" customWidth="1"/>
    <col min="19" max="20" width="13" customWidth="1"/>
    <col min="21" max="21" width="9.83203125" customWidth="1"/>
    <col min="22" max="22" width="12.83203125" customWidth="1"/>
    <col min="23" max="24" width="17.1640625" customWidth="1"/>
    <col min="25" max="28" width="9.83203125" customWidth="1"/>
    <col min="29" max="29" width="7.5" customWidth="1"/>
    <col min="30" max="30" width="10.83203125" bestFit="1" customWidth="1"/>
    <col min="31" max="31" width="9.83203125" bestFit="1" customWidth="1"/>
    <col min="36" max="36" width="9" bestFit="1" customWidth="1"/>
    <col min="37" max="37" width="15" bestFit="1" customWidth="1"/>
    <col min="38" max="40" width="15" customWidth="1"/>
    <col min="41" max="41" width="9.83203125" bestFit="1" customWidth="1"/>
    <col min="43" max="43" width="13.33203125" bestFit="1" customWidth="1"/>
    <col min="44" max="44" width="16.5" bestFit="1" customWidth="1"/>
    <col min="45" max="47" width="16.5" customWidth="1"/>
    <col min="48" max="48" width="11.1640625" bestFit="1" customWidth="1"/>
  </cols>
  <sheetData>
    <row r="1" spans="1:48" ht="12.75">
      <c r="A1" s="53"/>
      <c r="B1" s="54"/>
      <c r="C1" s="55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</row>
    <row r="2" spans="1:48" ht="12.75">
      <c r="A2" s="53"/>
      <c r="B2" s="54"/>
      <c r="C2" s="55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3">
        <v>1027</v>
      </c>
      <c r="AH2" s="53">
        <v>1028</v>
      </c>
      <c r="AI2" s="53">
        <v>1029</v>
      </c>
      <c r="AJ2" s="53">
        <v>1031</v>
      </c>
      <c r="AK2" s="54"/>
      <c r="AL2" s="53">
        <v>1060</v>
      </c>
      <c r="AM2" s="53">
        <v>1088</v>
      </c>
      <c r="AN2" s="53">
        <v>1091</v>
      </c>
      <c r="AO2" s="53">
        <v>1095</v>
      </c>
      <c r="AP2" s="53">
        <v>1096</v>
      </c>
      <c r="AQ2" s="53">
        <v>1100</v>
      </c>
      <c r="AR2" s="54"/>
      <c r="AS2" s="54"/>
      <c r="AT2" s="54"/>
      <c r="AU2" s="54"/>
      <c r="AV2" s="54"/>
    </row>
    <row r="3" spans="1:48" ht="11.25" customHeight="1">
      <c r="A3" s="53"/>
      <c r="B3" s="54"/>
      <c r="C3" s="55"/>
      <c r="D3" s="394" t="s">
        <v>656</v>
      </c>
      <c r="E3" s="395"/>
      <c r="F3" s="395"/>
      <c r="G3" s="395"/>
      <c r="H3" s="395"/>
      <c r="I3" s="395"/>
      <c r="J3" s="396"/>
      <c r="K3" s="56" t="s">
        <v>657</v>
      </c>
      <c r="L3" s="56" t="s">
        <v>290</v>
      </c>
      <c r="M3" s="56" t="s">
        <v>84</v>
      </c>
      <c r="N3" s="56" t="s">
        <v>84</v>
      </c>
      <c r="O3" s="56" t="s">
        <v>84</v>
      </c>
      <c r="P3" s="56" t="s">
        <v>84</v>
      </c>
      <c r="Q3" s="56" t="s">
        <v>84</v>
      </c>
      <c r="R3" s="57" t="s">
        <v>84</v>
      </c>
      <c r="S3" s="58" t="s">
        <v>84</v>
      </c>
      <c r="T3" s="58" t="s">
        <v>84</v>
      </c>
      <c r="U3" s="394" t="s">
        <v>658</v>
      </c>
      <c r="V3" s="395"/>
      <c r="W3" s="395"/>
      <c r="X3" s="395"/>
      <c r="Y3" s="396"/>
      <c r="Z3" s="56"/>
      <c r="AA3" s="56"/>
      <c r="AB3" s="56"/>
      <c r="AC3" s="56" t="s">
        <v>84</v>
      </c>
      <c r="AD3" s="56" t="s">
        <v>84</v>
      </c>
      <c r="AE3" s="56" t="s">
        <v>84</v>
      </c>
      <c r="AF3" s="59" t="s">
        <v>659</v>
      </c>
      <c r="AG3" s="59" t="s">
        <v>660</v>
      </c>
      <c r="AH3" s="59" t="s">
        <v>660</v>
      </c>
      <c r="AI3" s="59" t="s">
        <v>660</v>
      </c>
      <c r="AJ3" s="59" t="s">
        <v>660</v>
      </c>
      <c r="AK3" s="53"/>
      <c r="AL3" s="53" t="s">
        <v>1</v>
      </c>
      <c r="AM3" s="53" t="s">
        <v>1</v>
      </c>
      <c r="AN3" s="53" t="s">
        <v>1</v>
      </c>
      <c r="AO3" s="59" t="s">
        <v>661</v>
      </c>
      <c r="AP3" s="59" t="s">
        <v>286</v>
      </c>
      <c r="AQ3" s="53"/>
      <c r="AR3" s="53"/>
      <c r="AS3" s="53"/>
      <c r="AT3" s="53"/>
      <c r="AU3" s="53"/>
      <c r="AV3" s="28"/>
    </row>
    <row r="4" spans="1:48" ht="15">
      <c r="A4" s="54"/>
      <c r="B4" s="54"/>
      <c r="C4" s="54"/>
      <c r="D4" s="60" t="s">
        <v>663</v>
      </c>
      <c r="E4" s="61" t="s">
        <v>712</v>
      </c>
      <c r="F4" s="61" t="s">
        <v>665</v>
      </c>
      <c r="G4" s="61" t="s">
        <v>666</v>
      </c>
      <c r="H4" s="61" t="s">
        <v>667</v>
      </c>
      <c r="I4" s="61" t="s">
        <v>668</v>
      </c>
      <c r="J4" s="61" t="s">
        <v>669</v>
      </c>
      <c r="K4" s="61" t="s">
        <v>670</v>
      </c>
      <c r="L4" s="61" t="s">
        <v>670</v>
      </c>
      <c r="M4" s="61" t="s">
        <v>289</v>
      </c>
      <c r="N4" s="61" t="s">
        <v>295</v>
      </c>
      <c r="O4" s="61" t="s">
        <v>300</v>
      </c>
      <c r="P4" s="61" t="s">
        <v>304</v>
      </c>
      <c r="Q4" s="61" t="s">
        <v>671</v>
      </c>
      <c r="R4" s="53" t="s">
        <v>672</v>
      </c>
      <c r="S4" s="53" t="s">
        <v>673</v>
      </c>
      <c r="T4" s="53" t="s">
        <v>674</v>
      </c>
      <c r="U4" s="53" t="s">
        <v>675</v>
      </c>
      <c r="V4" s="60" t="s">
        <v>676</v>
      </c>
      <c r="W4" s="60" t="s">
        <v>713</v>
      </c>
      <c r="X4" s="60" t="s">
        <v>678</v>
      </c>
      <c r="Y4" s="60" t="s">
        <v>679</v>
      </c>
      <c r="Z4" s="61" t="s">
        <v>680</v>
      </c>
      <c r="AA4" s="61" t="s">
        <v>714</v>
      </c>
      <c r="AB4" s="103" t="s">
        <v>682</v>
      </c>
      <c r="AC4" s="103" t="s">
        <v>683</v>
      </c>
      <c r="AD4" s="61" t="s">
        <v>684</v>
      </c>
      <c r="AE4" s="61" t="s">
        <v>685</v>
      </c>
      <c r="AF4" s="62" t="s">
        <v>659</v>
      </c>
      <c r="AG4" s="63" t="s">
        <v>660</v>
      </c>
      <c r="AH4" s="63" t="s">
        <v>660</v>
      </c>
      <c r="AI4" s="63" t="s">
        <v>660</v>
      </c>
      <c r="AJ4" s="63" t="s">
        <v>660</v>
      </c>
      <c r="AK4" s="108" t="s">
        <v>686</v>
      </c>
      <c r="AL4" s="108" t="s">
        <v>715</v>
      </c>
      <c r="AM4" s="108" t="s">
        <v>716</v>
      </c>
      <c r="AN4" s="108" t="s">
        <v>717</v>
      </c>
      <c r="AO4" s="63" t="s">
        <v>661</v>
      </c>
      <c r="AP4" s="63" t="s">
        <v>286</v>
      </c>
      <c r="AQ4" s="59" t="s">
        <v>690</v>
      </c>
      <c r="AR4" s="59" t="s">
        <v>691</v>
      </c>
      <c r="AS4" s="53" t="s">
        <v>692</v>
      </c>
      <c r="AT4" s="53" t="s">
        <v>718</v>
      </c>
      <c r="AU4" s="53" t="s">
        <v>694</v>
      </c>
      <c r="AV4" s="28"/>
    </row>
    <row r="5" spans="1:48" ht="120">
      <c r="A5" s="64" t="s">
        <v>695</v>
      </c>
      <c r="B5" s="64" t="s">
        <v>696</v>
      </c>
      <c r="C5" s="64" t="s">
        <v>698</v>
      </c>
      <c r="D5" s="65">
        <v>1005</v>
      </c>
      <c r="E5" s="65">
        <v>1010</v>
      </c>
      <c r="F5" s="347">
        <v>1011</v>
      </c>
      <c r="G5" s="65">
        <v>1012</v>
      </c>
      <c r="H5" s="65">
        <v>1014</v>
      </c>
      <c r="I5" s="347">
        <v>1015</v>
      </c>
      <c r="J5" s="347">
        <v>1016</v>
      </c>
      <c r="K5" s="347">
        <v>1017</v>
      </c>
      <c r="L5" s="347">
        <v>1018</v>
      </c>
      <c r="M5" s="347">
        <v>1020</v>
      </c>
      <c r="N5" s="65">
        <v>1021</v>
      </c>
      <c r="O5" s="65">
        <v>1025</v>
      </c>
      <c r="P5" s="65">
        <v>1026</v>
      </c>
      <c r="Q5" s="65">
        <v>1030</v>
      </c>
      <c r="R5" s="65">
        <v>1032</v>
      </c>
      <c r="S5" s="65">
        <v>1033</v>
      </c>
      <c r="T5" s="65">
        <v>1034</v>
      </c>
      <c r="U5" s="65">
        <v>1035</v>
      </c>
      <c r="V5" s="65">
        <v>1036</v>
      </c>
      <c r="W5" s="65">
        <v>1037</v>
      </c>
      <c r="X5" s="347">
        <v>1038</v>
      </c>
      <c r="Y5" s="65">
        <v>1039</v>
      </c>
      <c r="Z5" s="65">
        <v>1041</v>
      </c>
      <c r="AA5" s="65">
        <v>1042</v>
      </c>
      <c r="AB5" s="65">
        <v>1046</v>
      </c>
      <c r="AC5" s="255">
        <v>1047</v>
      </c>
      <c r="AD5" s="65">
        <v>1065</v>
      </c>
      <c r="AE5" s="65">
        <v>1066</v>
      </c>
      <c r="AF5" s="65">
        <v>1087</v>
      </c>
      <c r="AG5" s="121" t="s">
        <v>700</v>
      </c>
      <c r="AH5" s="121" t="s">
        <v>701</v>
      </c>
      <c r="AI5" s="121" t="s">
        <v>702</v>
      </c>
      <c r="AJ5" s="121" t="s">
        <v>719</v>
      </c>
      <c r="AK5" s="65">
        <v>1050</v>
      </c>
      <c r="AL5" s="65">
        <v>1060</v>
      </c>
      <c r="AM5" s="65">
        <v>1088</v>
      </c>
      <c r="AN5" s="65">
        <v>1091</v>
      </c>
      <c r="AO5" s="121" t="s">
        <v>707</v>
      </c>
      <c r="AP5" s="121" t="s">
        <v>707</v>
      </c>
      <c r="AQ5" s="280">
        <v>1100</v>
      </c>
      <c r="AR5" s="65">
        <v>1995</v>
      </c>
      <c r="AS5" s="65">
        <v>1999</v>
      </c>
      <c r="AT5" s="65">
        <v>2504</v>
      </c>
      <c r="AU5" s="65">
        <v>2508</v>
      </c>
      <c r="AV5" s="65" t="s">
        <v>709</v>
      </c>
    </row>
    <row r="6" spans="1:48" ht="12.75">
      <c r="A6" s="66">
        <v>213</v>
      </c>
      <c r="B6" s="66" t="str">
        <f>'Comp 25-26'!A2</f>
        <v>Alvarado, Francisco</v>
      </c>
      <c r="C6" s="66" t="str">
        <f>'Comp 25-26'!C2</f>
        <v>IT Manager</v>
      </c>
      <c r="D6" s="76">
        <v>0.01</v>
      </c>
      <c r="E6" s="67"/>
      <c r="F6" s="54"/>
      <c r="G6" s="67"/>
      <c r="H6" s="54"/>
      <c r="I6" s="67">
        <v>0.72</v>
      </c>
      <c r="J6" s="54"/>
      <c r="K6" s="67">
        <v>0.04</v>
      </c>
      <c r="L6" s="67"/>
      <c r="M6" s="76">
        <v>0</v>
      </c>
      <c r="N6" s="67">
        <v>0.08</v>
      </c>
      <c r="O6" s="67"/>
      <c r="P6" s="67"/>
      <c r="Q6" s="54"/>
      <c r="R6" s="76"/>
      <c r="S6" s="67"/>
      <c r="T6" s="67"/>
      <c r="U6" s="54"/>
      <c r="V6" s="67"/>
      <c r="W6" s="54"/>
      <c r="X6" s="54"/>
      <c r="Y6" s="54"/>
      <c r="Z6" s="76">
        <v>0.05</v>
      </c>
      <c r="AA6" s="54"/>
      <c r="AB6" s="54"/>
      <c r="AC6" s="54"/>
      <c r="AD6" s="67">
        <v>0.08</v>
      </c>
      <c r="AE6" s="67">
        <v>0.02</v>
      </c>
      <c r="AF6" s="54"/>
      <c r="AG6" s="54"/>
      <c r="AH6" s="54"/>
      <c r="AI6" s="54"/>
      <c r="AJ6" s="67"/>
      <c r="AK6" s="54"/>
      <c r="AL6" s="54"/>
      <c r="AM6" s="54"/>
      <c r="AN6" s="54"/>
      <c r="AO6" s="54"/>
      <c r="AP6" s="54"/>
      <c r="AQ6" s="54"/>
      <c r="AR6" s="76"/>
      <c r="AS6" s="76"/>
      <c r="AT6" s="76"/>
      <c r="AU6" s="76"/>
      <c r="AV6" s="67">
        <f>SUM(D6:AU6)</f>
        <v>1</v>
      </c>
    </row>
    <row r="7" spans="1:48" ht="12.75">
      <c r="A7" s="66">
        <v>196</v>
      </c>
      <c r="B7" s="66" t="str">
        <f>'Comp 25-26'!A3</f>
        <v>Aly, Edita</v>
      </c>
      <c r="C7" s="66" t="str">
        <f>'Comp 25-26'!C3</f>
        <v>Grant Accountant</v>
      </c>
      <c r="D7" s="67">
        <v>0.09</v>
      </c>
      <c r="E7" s="76">
        <v>0</v>
      </c>
      <c r="F7" s="54"/>
      <c r="G7" s="76">
        <v>0.08</v>
      </c>
      <c r="H7" s="76">
        <v>0.04</v>
      </c>
      <c r="I7" s="54"/>
      <c r="J7" s="76">
        <v>0.02</v>
      </c>
      <c r="K7" s="67">
        <v>0.1</v>
      </c>
      <c r="L7" s="67"/>
      <c r="M7" s="54"/>
      <c r="N7" s="67">
        <v>0.2</v>
      </c>
      <c r="O7" s="67">
        <v>0.22</v>
      </c>
      <c r="P7" s="67">
        <v>0.18</v>
      </c>
      <c r="Q7" s="54"/>
      <c r="R7" s="67"/>
      <c r="S7" s="67"/>
      <c r="T7" s="67"/>
      <c r="U7" s="54"/>
      <c r="V7" s="54"/>
      <c r="W7" s="54"/>
      <c r="X7" s="67"/>
      <c r="Y7" s="54"/>
      <c r="Z7" s="54"/>
      <c r="AA7" s="54"/>
      <c r="AB7" s="54"/>
      <c r="AC7" s="67"/>
      <c r="AD7" s="54"/>
      <c r="AE7" s="54"/>
      <c r="AF7" s="67"/>
      <c r="AG7" s="67"/>
      <c r="AH7" s="67"/>
      <c r="AI7" s="67"/>
      <c r="AJ7" s="67"/>
      <c r="AK7" s="54"/>
      <c r="AL7" s="54"/>
      <c r="AM7" s="54"/>
      <c r="AN7" s="54"/>
      <c r="AO7" s="76">
        <v>0.04</v>
      </c>
      <c r="AP7" s="76">
        <v>0.03</v>
      </c>
      <c r="AQ7" s="76"/>
      <c r="AR7" s="76"/>
      <c r="AS7" s="76"/>
      <c r="AT7" s="76"/>
      <c r="AU7" s="76"/>
      <c r="AV7" s="67">
        <f t="shared" ref="AV7:AV70" si="0">SUM(D7:AU7)</f>
        <v>1</v>
      </c>
    </row>
    <row r="8" spans="1:48" ht="12.75">
      <c r="A8" s="66">
        <v>366</v>
      </c>
      <c r="B8" s="66" t="str">
        <f>'Comp 25-26'!A4</f>
        <v>Galvan, Cynthia</v>
      </c>
      <c r="C8" s="66" t="str">
        <f>'Comp 25-26'!C4</f>
        <v>GR Program Manager</v>
      </c>
      <c r="D8" s="67"/>
      <c r="E8" s="67"/>
      <c r="F8" s="54"/>
      <c r="G8" s="54"/>
      <c r="H8" s="54"/>
      <c r="I8" s="54"/>
      <c r="J8" s="54"/>
      <c r="K8" s="67">
        <v>0.45</v>
      </c>
      <c r="L8" s="67">
        <v>0.15</v>
      </c>
      <c r="M8" s="54"/>
      <c r="N8" s="54"/>
      <c r="O8" s="54"/>
      <c r="P8" s="54"/>
      <c r="Q8" s="54"/>
      <c r="R8" s="54"/>
      <c r="S8" s="76">
        <v>0.15</v>
      </c>
      <c r="T8" s="76">
        <v>0.16</v>
      </c>
      <c r="U8" s="54"/>
      <c r="V8" s="54"/>
      <c r="W8" s="54"/>
      <c r="X8" s="67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67"/>
      <c r="AP8" s="67"/>
      <c r="AQ8" s="76">
        <v>0.09</v>
      </c>
      <c r="AR8" s="76"/>
      <c r="AS8" s="76"/>
      <c r="AT8" s="76"/>
      <c r="AU8" s="76"/>
      <c r="AV8" s="67">
        <f t="shared" si="0"/>
        <v>1</v>
      </c>
    </row>
    <row r="9" spans="1:48" ht="12.75">
      <c r="A9" s="66">
        <v>246</v>
      </c>
      <c r="B9" s="66" t="str">
        <f>'Comp 25-26'!A5</f>
        <v>Arciniegas, Jessica</v>
      </c>
      <c r="C9" s="66" t="str">
        <f>'Comp 25-26'!C5</f>
        <v>HR Generalist</v>
      </c>
      <c r="D9" s="67">
        <v>0.22</v>
      </c>
      <c r="E9" s="67">
        <v>0.16</v>
      </c>
      <c r="F9" s="67"/>
      <c r="G9" s="67"/>
      <c r="H9" s="67">
        <v>0.04</v>
      </c>
      <c r="I9" s="54"/>
      <c r="J9" s="67">
        <v>0.06</v>
      </c>
      <c r="K9" s="67">
        <v>0.05</v>
      </c>
      <c r="L9" s="67">
        <v>0</v>
      </c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67">
        <v>0.27</v>
      </c>
      <c r="AE9" s="67">
        <v>0.2</v>
      </c>
      <c r="AF9" s="54"/>
      <c r="AG9" s="54"/>
      <c r="AH9" s="54"/>
      <c r="AI9" s="54"/>
      <c r="AJ9" s="54"/>
      <c r="AK9" s="54"/>
      <c r="AL9" s="54"/>
      <c r="AM9" s="54"/>
      <c r="AN9" s="54"/>
      <c r="AO9" s="67"/>
      <c r="AP9" s="67"/>
      <c r="AQ9" s="76"/>
      <c r="AR9" s="76"/>
      <c r="AS9" s="76"/>
      <c r="AT9" s="76"/>
      <c r="AU9" s="76"/>
      <c r="AV9" s="67">
        <f t="shared" si="0"/>
        <v>1</v>
      </c>
    </row>
    <row r="10" spans="1:48" s="183" customFormat="1" ht="12.75">
      <c r="A10" s="66">
        <v>149</v>
      </c>
      <c r="B10" s="66" t="str">
        <f>'Comp 25-26'!A6</f>
        <v>Arias, Michelle</v>
      </c>
      <c r="C10" s="66" t="str">
        <f>'Comp 25-26'!C6</f>
        <v>VA Case Manager</v>
      </c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1">
        <v>0.75</v>
      </c>
      <c r="AE10" s="181">
        <v>0.25</v>
      </c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2"/>
      <c r="AR10" s="182"/>
      <c r="AS10" s="182"/>
      <c r="AT10" s="182"/>
      <c r="AU10" s="182"/>
      <c r="AV10" s="67">
        <f t="shared" si="0"/>
        <v>1</v>
      </c>
    </row>
    <row r="11" spans="1:48" ht="12.75">
      <c r="A11" s="66">
        <v>9</v>
      </c>
      <c r="B11" s="66" t="str">
        <f>'Comp 25-26'!A7</f>
        <v>Ayers, Hubert</v>
      </c>
      <c r="C11" s="66" t="str">
        <f>'Comp 25-26'!C7</f>
        <v>Finance Manager</v>
      </c>
      <c r="D11" s="67">
        <v>0.44500000000000001</v>
      </c>
      <c r="E11" s="76">
        <v>0.08</v>
      </c>
      <c r="F11" s="67"/>
      <c r="G11" s="54"/>
      <c r="H11" s="54"/>
      <c r="I11" s="54"/>
      <c r="J11" s="76">
        <v>0.02</v>
      </c>
      <c r="K11" s="67">
        <v>0.05</v>
      </c>
      <c r="L11" s="67"/>
      <c r="M11" s="76">
        <v>0</v>
      </c>
      <c r="N11" s="67">
        <v>0</v>
      </c>
      <c r="O11" s="67"/>
      <c r="P11" s="67"/>
      <c r="Q11" s="67"/>
      <c r="R11" s="67"/>
      <c r="S11" s="67">
        <v>0.03</v>
      </c>
      <c r="T11" s="67">
        <v>0.01</v>
      </c>
      <c r="U11" s="54"/>
      <c r="V11" s="54"/>
      <c r="W11" s="54"/>
      <c r="X11" s="54"/>
      <c r="Y11" s="54"/>
      <c r="Z11" s="54"/>
      <c r="AA11" s="54"/>
      <c r="AB11" s="54"/>
      <c r="AC11" s="54"/>
      <c r="AD11" s="67">
        <v>0.15</v>
      </c>
      <c r="AE11" s="67">
        <v>0.185</v>
      </c>
      <c r="AF11" s="54"/>
      <c r="AG11" s="67"/>
      <c r="AH11" s="67"/>
      <c r="AI11" s="67"/>
      <c r="AJ11" s="67"/>
      <c r="AK11" s="67"/>
      <c r="AL11" s="67"/>
      <c r="AM11" s="67"/>
      <c r="AN11" s="67"/>
      <c r="AO11" s="67">
        <v>0.03</v>
      </c>
      <c r="AP11" s="54"/>
      <c r="AQ11" s="54"/>
      <c r="AR11" s="76"/>
      <c r="AS11" s="76"/>
      <c r="AT11" s="76"/>
      <c r="AU11" s="76"/>
      <c r="AV11" s="67">
        <f t="shared" si="0"/>
        <v>1.0000000000000002</v>
      </c>
    </row>
    <row r="12" spans="1:48" ht="12.75">
      <c r="A12" s="66">
        <v>263</v>
      </c>
      <c r="B12" s="66" t="str">
        <f>'Comp 25-26'!A8</f>
        <v>Vacant</v>
      </c>
      <c r="C12" s="66" t="str">
        <f>'Comp 25-26'!C8</f>
        <v>Controller</v>
      </c>
      <c r="D12" s="67">
        <v>0.15</v>
      </c>
      <c r="E12" s="76">
        <v>0.1</v>
      </c>
      <c r="F12" s="54"/>
      <c r="G12" s="76">
        <v>0.08</v>
      </c>
      <c r="H12" s="54"/>
      <c r="I12" s="54"/>
      <c r="J12" s="76"/>
      <c r="K12" s="67">
        <v>0.15</v>
      </c>
      <c r="L12" s="54"/>
      <c r="M12" s="54"/>
      <c r="N12" s="67">
        <v>0.09</v>
      </c>
      <c r="O12" s="67"/>
      <c r="P12" s="67">
        <v>0.02</v>
      </c>
      <c r="Q12" s="54"/>
      <c r="R12" s="54"/>
      <c r="S12" s="67">
        <v>0.05</v>
      </c>
      <c r="T12" s="67">
        <v>0.05</v>
      </c>
      <c r="U12" s="54"/>
      <c r="V12" s="54"/>
      <c r="W12" s="76">
        <v>0.03</v>
      </c>
      <c r="X12" s="67"/>
      <c r="Y12" s="54"/>
      <c r="Z12" s="54"/>
      <c r="AA12" s="54"/>
      <c r="AB12" s="54"/>
      <c r="AC12" s="54"/>
      <c r="AD12" s="67">
        <v>0.15</v>
      </c>
      <c r="AE12" s="67">
        <v>0.13</v>
      </c>
      <c r="AF12" s="67"/>
      <c r="AG12" s="67"/>
      <c r="AH12" s="67"/>
      <c r="AI12" s="67"/>
      <c r="AJ12" s="67"/>
      <c r="AK12" s="54"/>
      <c r="AL12" s="54"/>
      <c r="AM12" s="54"/>
      <c r="AN12" s="54"/>
      <c r="AO12" s="67">
        <v>0</v>
      </c>
      <c r="AP12" s="54"/>
      <c r="AQ12" s="54"/>
      <c r="AR12" s="76"/>
      <c r="AS12" s="76"/>
      <c r="AT12" s="76"/>
      <c r="AU12" s="76"/>
      <c r="AV12" s="67">
        <f t="shared" si="0"/>
        <v>1</v>
      </c>
    </row>
    <row r="13" spans="1:48" s="183" customFormat="1" ht="12.75">
      <c r="A13" s="66">
        <v>80</v>
      </c>
      <c r="B13" s="66" t="str">
        <f>'Comp 25-26'!A9</f>
        <v>Barrows, Tracy Lili</v>
      </c>
      <c r="C13" s="66" t="str">
        <f>'Comp 25-26'!C9</f>
        <v>ADRC Helpline Manager</v>
      </c>
      <c r="D13" s="180"/>
      <c r="E13" s="181">
        <v>0.65</v>
      </c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1">
        <v>0.35</v>
      </c>
      <c r="AR13" s="182"/>
      <c r="AS13" s="182"/>
      <c r="AT13" s="182"/>
      <c r="AU13" s="182"/>
      <c r="AV13" s="67">
        <f t="shared" si="0"/>
        <v>1</v>
      </c>
    </row>
    <row r="14" spans="1:48" s="183" customFormat="1" ht="12.75">
      <c r="A14" s="66">
        <v>377</v>
      </c>
      <c r="B14" s="66" t="str">
        <f>'Comp 25-26'!A10</f>
        <v>Dijana Radak</v>
      </c>
      <c r="C14" s="66" t="str">
        <f>'Comp 25-26'!C10</f>
        <v>Mental Health Counselor</v>
      </c>
      <c r="D14" s="182">
        <v>0</v>
      </c>
      <c r="E14" s="180"/>
      <c r="F14" s="181">
        <v>0.74</v>
      </c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1">
        <v>0.26</v>
      </c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2"/>
      <c r="AS14" s="182"/>
      <c r="AT14" s="182"/>
      <c r="AU14" s="182"/>
      <c r="AV14" s="67">
        <f t="shared" si="0"/>
        <v>1</v>
      </c>
    </row>
    <row r="15" spans="1:48" s="183" customFormat="1" ht="12.75">
      <c r="A15" s="66">
        <v>231</v>
      </c>
      <c r="B15" s="66" t="str">
        <f>'Comp 25-26'!A11</f>
        <v>Vacant</v>
      </c>
      <c r="C15" s="66" t="str">
        <f>'Comp 25-26'!C11</f>
        <v>Medicaid Benefits Counselor</v>
      </c>
      <c r="D15" s="181"/>
      <c r="E15" s="180"/>
      <c r="F15" s="180"/>
      <c r="G15" s="180"/>
      <c r="H15" s="180"/>
      <c r="I15" s="180"/>
      <c r="J15" s="180"/>
      <c r="K15" s="181"/>
      <c r="L15" s="181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2">
        <v>1</v>
      </c>
      <c r="Z15" s="182"/>
      <c r="AA15" s="182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2"/>
      <c r="AS15" s="182"/>
      <c r="AT15" s="182"/>
      <c r="AU15" s="182"/>
      <c r="AV15" s="67">
        <f t="shared" si="0"/>
        <v>1</v>
      </c>
    </row>
    <row r="16" spans="1:48" ht="12.75">
      <c r="A16" s="66">
        <v>240</v>
      </c>
      <c r="B16" s="66" t="str">
        <f>'Comp 25-26'!A12</f>
        <v>Brown, Sandra</v>
      </c>
      <c r="C16" s="66" t="str">
        <f>'Comp 25-26'!C12</f>
        <v>Human Resources Manager</v>
      </c>
      <c r="D16" s="76">
        <v>1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67"/>
      <c r="W16" s="67"/>
      <c r="X16" s="67"/>
      <c r="Y16" s="67"/>
      <c r="Z16" s="67"/>
      <c r="AA16" s="67"/>
      <c r="AB16" s="67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76"/>
      <c r="AS16" s="76"/>
      <c r="AT16" s="76"/>
      <c r="AU16" s="76"/>
      <c r="AV16" s="67">
        <f t="shared" si="0"/>
        <v>1</v>
      </c>
    </row>
    <row r="17" spans="1:48" s="183" customFormat="1" ht="12.75">
      <c r="A17" s="66">
        <v>177</v>
      </c>
      <c r="B17" s="66" t="str">
        <f>'Comp 25-26'!A13</f>
        <v>Butakov, Jessica</v>
      </c>
      <c r="C17" s="66" t="str">
        <f>'Comp 25-26'!C13</f>
        <v>Medicaid Benefits Counselor</v>
      </c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1"/>
      <c r="W17" s="181"/>
      <c r="X17" s="181"/>
      <c r="Y17" s="181">
        <v>1</v>
      </c>
      <c r="Z17" s="181"/>
      <c r="AA17" s="181"/>
      <c r="AB17" s="181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2"/>
      <c r="AS17" s="182"/>
      <c r="AT17" s="182"/>
      <c r="AU17" s="182"/>
      <c r="AV17" s="67">
        <f t="shared" si="0"/>
        <v>1</v>
      </c>
    </row>
    <row r="18" spans="1:48" s="183" customFormat="1" ht="12.75">
      <c r="A18" s="66">
        <v>365</v>
      </c>
      <c r="B18" s="66" t="str">
        <f>'Comp 25-26'!A14</f>
        <v>Callahan-Ross, Lisa</v>
      </c>
      <c r="C18" s="66" t="str">
        <f>'Comp 25-26'!C14</f>
        <v>Intake Specialist</v>
      </c>
      <c r="D18" s="180"/>
      <c r="E18" s="180"/>
      <c r="F18" s="180"/>
      <c r="G18" s="180"/>
      <c r="H18" s="180"/>
      <c r="I18" s="180"/>
      <c r="J18" s="180"/>
      <c r="K18" s="182">
        <v>0.76</v>
      </c>
      <c r="L18" s="182">
        <v>0.24</v>
      </c>
      <c r="M18" s="180"/>
      <c r="N18" s="180"/>
      <c r="O18" s="180"/>
      <c r="P18" s="180"/>
      <c r="Q18" s="180"/>
      <c r="R18" s="180"/>
      <c r="S18" s="180"/>
      <c r="T18" s="180"/>
      <c r="U18" s="180"/>
      <c r="V18" s="181"/>
      <c r="W18" s="181"/>
      <c r="X18" s="181"/>
      <c r="Y18" s="181"/>
      <c r="Z18" s="181"/>
      <c r="AA18" s="181"/>
      <c r="AB18" s="181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2"/>
      <c r="AS18" s="182"/>
      <c r="AT18" s="182"/>
      <c r="AU18" s="182"/>
      <c r="AV18" s="67">
        <f t="shared" si="0"/>
        <v>1</v>
      </c>
    </row>
    <row r="19" spans="1:48" s="183" customFormat="1" ht="12.75">
      <c r="A19" s="66">
        <v>108</v>
      </c>
      <c r="B19" s="66" t="str">
        <f>'Comp 25-26'!A15</f>
        <v>Carr, Leah Danielle</v>
      </c>
      <c r="C19" s="66" t="str">
        <f>'Comp 25-26'!C15</f>
        <v>Medicaid Benefits Counselor Coordinator</v>
      </c>
      <c r="D19" s="180"/>
      <c r="E19" s="180"/>
      <c r="F19" s="180"/>
      <c r="G19" s="180"/>
      <c r="H19" s="180"/>
      <c r="I19" s="180"/>
      <c r="J19" s="180"/>
      <c r="K19" s="181"/>
      <c r="L19" s="181"/>
      <c r="M19" s="180"/>
      <c r="N19" s="180"/>
      <c r="O19" s="180"/>
      <c r="P19" s="180"/>
      <c r="Q19" s="180"/>
      <c r="R19" s="180"/>
      <c r="S19" s="180"/>
      <c r="T19" s="180"/>
      <c r="U19" s="182">
        <v>0.3</v>
      </c>
      <c r="V19" s="180"/>
      <c r="W19" s="180"/>
      <c r="X19" s="180"/>
      <c r="Y19" s="182">
        <v>0.7</v>
      </c>
      <c r="Z19" s="182"/>
      <c r="AA19" s="182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2"/>
      <c r="AS19" s="182"/>
      <c r="AT19" s="182"/>
      <c r="AU19" s="182"/>
      <c r="AV19" s="67">
        <f t="shared" si="0"/>
        <v>1</v>
      </c>
    </row>
    <row r="20" spans="1:48" ht="12.75">
      <c r="A20" s="66">
        <v>376</v>
      </c>
      <c r="B20" s="66" t="str">
        <f>'Comp 25-26'!A16</f>
        <v>Darrah, Georgie Barnes</v>
      </c>
      <c r="C20" s="66" t="str">
        <f>'Comp 25-26'!C16</f>
        <v>Assistant Director of Programs</v>
      </c>
      <c r="D20" s="76">
        <v>0.11</v>
      </c>
      <c r="E20" s="76">
        <v>0.11</v>
      </c>
      <c r="F20" s="54"/>
      <c r="G20" s="76">
        <v>0.2</v>
      </c>
      <c r="H20" s="54"/>
      <c r="I20" s="54"/>
      <c r="J20" s="76">
        <v>0.15</v>
      </c>
      <c r="K20" s="54"/>
      <c r="L20" s="54"/>
      <c r="M20" s="76">
        <v>7.0000000000000007E-2</v>
      </c>
      <c r="N20" s="54"/>
      <c r="O20" s="54"/>
      <c r="P20" s="54"/>
      <c r="Q20" s="54"/>
      <c r="R20" s="76">
        <v>0.1</v>
      </c>
      <c r="S20" s="76">
        <v>0.1</v>
      </c>
      <c r="T20" s="76">
        <v>0.1</v>
      </c>
      <c r="U20" s="67"/>
      <c r="V20" s="67"/>
      <c r="W20" s="67"/>
      <c r="X20" s="67"/>
      <c r="Y20" s="67">
        <v>0</v>
      </c>
      <c r="Z20" s="67"/>
      <c r="AA20" s="67"/>
      <c r="AB20" s="67"/>
      <c r="AC20" s="54"/>
      <c r="AD20" s="54"/>
      <c r="AE20" s="54"/>
      <c r="AF20" s="76">
        <v>0.06</v>
      </c>
      <c r="AG20" s="54"/>
      <c r="AH20" s="54"/>
      <c r="AI20" s="54"/>
      <c r="AJ20" s="76"/>
      <c r="AK20" s="76"/>
      <c r="AL20" s="76"/>
      <c r="AM20" s="76"/>
      <c r="AN20" s="76"/>
      <c r="AO20" s="54"/>
      <c r="AP20" s="54"/>
      <c r="AQ20" s="54"/>
      <c r="AR20" s="76"/>
      <c r="AS20" s="76"/>
      <c r="AT20" s="76"/>
      <c r="AU20" s="76"/>
      <c r="AV20" s="67">
        <f t="shared" si="0"/>
        <v>1</v>
      </c>
    </row>
    <row r="21" spans="1:48" ht="12.75">
      <c r="A21" s="66">
        <v>218</v>
      </c>
      <c r="B21" s="66" t="str">
        <f>'Comp 25-26'!A17</f>
        <v>Davis, Kaliegh</v>
      </c>
      <c r="C21" s="66" t="str">
        <f>'Comp 25-26'!C17</f>
        <v>Service Analyst</v>
      </c>
      <c r="D21" s="67">
        <v>0.3</v>
      </c>
      <c r="E21" s="76"/>
      <c r="F21" s="67"/>
      <c r="G21" s="54"/>
      <c r="H21" s="54"/>
      <c r="I21" s="54"/>
      <c r="J21" s="67"/>
      <c r="K21" s="76">
        <v>0.35</v>
      </c>
      <c r="L21" s="54"/>
      <c r="M21" s="67"/>
      <c r="N21" s="67"/>
      <c r="O21" s="67"/>
      <c r="P21" s="67"/>
      <c r="Q21" s="54"/>
      <c r="R21" s="67">
        <v>0.1</v>
      </c>
      <c r="S21" s="67">
        <v>0.1</v>
      </c>
      <c r="T21" s="67">
        <v>0.15</v>
      </c>
      <c r="U21" s="54"/>
      <c r="V21" s="54"/>
      <c r="W21" s="54"/>
      <c r="X21" s="54"/>
      <c r="Y21" s="54"/>
      <c r="Z21" s="54"/>
      <c r="AA21" s="54"/>
      <c r="AB21" s="54"/>
      <c r="AC21" s="54"/>
      <c r="AD21" s="67"/>
      <c r="AE21" s="54"/>
      <c r="AF21" s="67"/>
      <c r="AG21" s="67"/>
      <c r="AH21" s="67"/>
      <c r="AI21" s="67"/>
      <c r="AJ21" s="67"/>
      <c r="AK21" s="67"/>
      <c r="AL21" s="67"/>
      <c r="AM21" s="67"/>
      <c r="AN21" s="67"/>
      <c r="AO21" s="54"/>
      <c r="AP21" s="54"/>
      <c r="AQ21" s="54"/>
      <c r="AR21" s="76"/>
      <c r="AS21" s="76"/>
      <c r="AT21" s="76"/>
      <c r="AU21" s="76"/>
      <c r="AV21" s="67">
        <f t="shared" si="0"/>
        <v>0.99999999999999989</v>
      </c>
    </row>
    <row r="22" spans="1:48" s="183" customFormat="1" ht="12.75">
      <c r="A22" s="66">
        <v>124</v>
      </c>
      <c r="B22" s="66" t="str">
        <f>'Comp 25-26'!A18</f>
        <v>Day, Nicole Sheree</v>
      </c>
      <c r="C22" s="66" t="str">
        <f>'Comp 25-26'!C18</f>
        <v>Caregiver Specialist</v>
      </c>
      <c r="D22" s="180"/>
      <c r="E22" s="180"/>
      <c r="F22" s="180"/>
      <c r="G22" s="180"/>
      <c r="H22" s="180"/>
      <c r="I22" s="180"/>
      <c r="J22" s="182">
        <v>1</v>
      </c>
      <c r="K22" s="181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2"/>
      <c r="AS22" s="182"/>
      <c r="AT22" s="182"/>
      <c r="AU22" s="182"/>
      <c r="AV22" s="67">
        <f t="shared" si="0"/>
        <v>1</v>
      </c>
    </row>
    <row r="23" spans="1:48" s="183" customFormat="1" ht="12.75">
      <c r="A23" s="66">
        <v>179</v>
      </c>
      <c r="B23" s="66" t="str">
        <f>'Comp 25-26'!A19</f>
        <v>Sleva, Zoey</v>
      </c>
      <c r="C23" s="66" t="str">
        <f>'Comp 25-26'!C19</f>
        <v>Chore Services Specialist</v>
      </c>
      <c r="D23" s="180"/>
      <c r="E23" s="180"/>
      <c r="F23" s="180"/>
      <c r="G23" s="180"/>
      <c r="H23" s="180"/>
      <c r="I23" s="180"/>
      <c r="J23" s="181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2">
        <v>0.8</v>
      </c>
      <c r="AP23" s="182">
        <v>0.2</v>
      </c>
      <c r="AQ23" s="180"/>
      <c r="AR23" s="182"/>
      <c r="AS23" s="182"/>
      <c r="AT23" s="182"/>
      <c r="AU23" s="182"/>
      <c r="AV23" s="67">
        <f t="shared" si="0"/>
        <v>1</v>
      </c>
    </row>
    <row r="24" spans="1:48" ht="12.75">
      <c r="A24" s="66">
        <v>180</v>
      </c>
      <c r="B24" s="66" t="str">
        <f>'Comp 25-26'!A20</f>
        <v>Didion, Christine Blair</v>
      </c>
      <c r="C24" s="66" t="str">
        <f>'Comp 25-26'!C20</f>
        <v>Director of Programs</v>
      </c>
      <c r="D24" s="76">
        <v>0.15</v>
      </c>
      <c r="E24" s="76">
        <v>0.18</v>
      </c>
      <c r="F24" s="54"/>
      <c r="G24" s="76">
        <v>0.08</v>
      </c>
      <c r="H24" s="54"/>
      <c r="I24" s="54"/>
      <c r="J24" s="67">
        <v>0.15</v>
      </c>
      <c r="K24" s="76">
        <v>0.3</v>
      </c>
      <c r="L24" s="54"/>
      <c r="M24" s="76">
        <v>7.0000000000000007E-2</v>
      </c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76"/>
      <c r="AG24" s="76"/>
      <c r="AH24" s="76"/>
      <c r="AI24" s="54"/>
      <c r="AJ24" s="54"/>
      <c r="AK24" s="54"/>
      <c r="AL24" s="54"/>
      <c r="AM24" s="54"/>
      <c r="AN24" s="76">
        <v>7.0000000000000007E-2</v>
      </c>
      <c r="AO24" s="54"/>
      <c r="AP24" s="54"/>
      <c r="AQ24" s="54"/>
      <c r="AR24" s="76"/>
      <c r="AS24" s="76"/>
      <c r="AT24" s="76"/>
      <c r="AU24" s="76"/>
      <c r="AV24" s="67">
        <f t="shared" si="0"/>
        <v>1</v>
      </c>
    </row>
    <row r="25" spans="1:48" s="183" customFormat="1" ht="12.75">
      <c r="A25" s="66">
        <v>261</v>
      </c>
      <c r="B25" s="66" t="str">
        <f>'Comp 25-26'!A21</f>
        <v>Anderson, Andrea</v>
      </c>
      <c r="C25" s="66" t="str">
        <f>'Comp 25-26'!C21</f>
        <v>Information &amp; Assistance Specialist</v>
      </c>
      <c r="D25" s="181"/>
      <c r="E25" s="182">
        <v>0.57999999999999996</v>
      </c>
      <c r="F25" s="181"/>
      <c r="G25" s="180"/>
      <c r="H25" s="180"/>
      <c r="I25" s="180"/>
      <c r="J25" s="180"/>
      <c r="K25" s="180"/>
      <c r="L25" s="181"/>
      <c r="M25" s="180"/>
      <c r="N25" s="180"/>
      <c r="O25" s="180"/>
      <c r="P25" s="180"/>
      <c r="Q25" s="180"/>
      <c r="R25" s="181"/>
      <c r="S25" s="181"/>
      <c r="T25" s="181"/>
      <c r="U25" s="180"/>
      <c r="V25" s="180"/>
      <c r="W25" s="180"/>
      <c r="X25" s="181"/>
      <c r="Y25" s="180"/>
      <c r="Z25" s="180"/>
      <c r="AA25" s="180"/>
      <c r="AB25" s="180"/>
      <c r="AC25" s="180"/>
      <c r="AD25" s="180"/>
      <c r="AE25" s="180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2">
        <v>0.42</v>
      </c>
      <c r="AR25" s="182"/>
      <c r="AS25" s="182"/>
      <c r="AT25" s="182"/>
      <c r="AU25" s="182"/>
      <c r="AV25" s="67">
        <f t="shared" si="0"/>
        <v>1</v>
      </c>
    </row>
    <row r="26" spans="1:48" ht="12.75">
      <c r="A26" s="66">
        <v>154</v>
      </c>
      <c r="B26" s="66" t="str">
        <f>'Comp 25-26'!A22</f>
        <v>Elliott, Jennifer E</v>
      </c>
      <c r="C26" s="66" t="str">
        <f>'Comp 25-26'!C22</f>
        <v>Service Analyst</v>
      </c>
      <c r="D26" s="76">
        <v>0.6</v>
      </c>
      <c r="E26" s="67"/>
      <c r="F26" s="54"/>
      <c r="G26" s="54"/>
      <c r="H26" s="54"/>
      <c r="I26" s="54"/>
      <c r="J26" s="76">
        <v>0</v>
      </c>
      <c r="K26" s="76">
        <v>0.3</v>
      </c>
      <c r="L26" s="76">
        <v>0</v>
      </c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67">
        <v>0.1</v>
      </c>
      <c r="AR26" s="76"/>
      <c r="AS26" s="76"/>
      <c r="AT26" s="76"/>
      <c r="AU26" s="76"/>
      <c r="AV26" s="67">
        <f t="shared" si="0"/>
        <v>0.99999999999999989</v>
      </c>
    </row>
    <row r="27" spans="1:48" s="183" customFormat="1" ht="12.75">
      <c r="A27" s="66">
        <v>259</v>
      </c>
      <c r="B27" s="66" t="str">
        <f>'Comp 25-26'!A23</f>
        <v>Morales, Hillary</v>
      </c>
      <c r="C27" s="66" t="str">
        <f>'Comp 25-26'!C23</f>
        <v>Executive Assistant</v>
      </c>
      <c r="D27" s="182">
        <v>1</v>
      </c>
      <c r="E27" s="180"/>
      <c r="F27" s="180"/>
      <c r="G27" s="180"/>
      <c r="H27" s="180"/>
      <c r="I27" s="180"/>
      <c r="J27" s="180"/>
      <c r="K27" s="181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2"/>
      <c r="AS27" s="182"/>
      <c r="AT27" s="182"/>
      <c r="AU27" s="182"/>
      <c r="AV27" s="67">
        <f t="shared" si="0"/>
        <v>1</v>
      </c>
    </row>
    <row r="28" spans="1:48" s="183" customFormat="1" ht="12.75">
      <c r="A28" s="66">
        <v>117</v>
      </c>
      <c r="B28" s="66" t="str">
        <f>'Comp 25-26'!A24</f>
        <v>Fortney, Geralyn</v>
      </c>
      <c r="C28" s="66" t="str">
        <f>'Comp 25-26'!C24</f>
        <v>Shine Program Manager</v>
      </c>
      <c r="D28" s="181"/>
      <c r="E28" s="180"/>
      <c r="F28" s="180"/>
      <c r="G28" s="180"/>
      <c r="H28" s="180"/>
      <c r="I28" s="180"/>
      <c r="J28" s="180"/>
      <c r="K28" s="180"/>
      <c r="L28" s="180"/>
      <c r="M28" s="180"/>
      <c r="N28" s="182">
        <v>0.25</v>
      </c>
      <c r="O28" s="182">
        <v>0.65</v>
      </c>
      <c r="P28" s="182">
        <v>0.1</v>
      </c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2"/>
      <c r="AS28" s="182"/>
      <c r="AT28" s="182"/>
      <c r="AU28" s="182"/>
      <c r="AV28" s="67">
        <f t="shared" si="0"/>
        <v>1</v>
      </c>
    </row>
    <row r="29" spans="1:48" ht="12.75">
      <c r="A29" s="66">
        <v>237</v>
      </c>
      <c r="B29" s="66" t="str">
        <f>'Comp 25-26'!A25</f>
        <v>Kershaw, Nayomi</v>
      </c>
      <c r="C29" s="66" t="str">
        <f>'Comp 25-26'!C25</f>
        <v xml:space="preserve">Program Manager ADI </v>
      </c>
      <c r="D29" s="54"/>
      <c r="E29" s="54"/>
      <c r="F29" s="54"/>
      <c r="G29" s="54"/>
      <c r="H29" s="54"/>
      <c r="I29" s="54"/>
      <c r="J29" s="54"/>
      <c r="K29" s="54"/>
      <c r="L29" s="76">
        <v>0.5</v>
      </c>
      <c r="M29" s="54"/>
      <c r="N29" s="67"/>
      <c r="O29" s="67"/>
      <c r="P29" s="67"/>
      <c r="Q29" s="54"/>
      <c r="R29" s="76">
        <v>0.5</v>
      </c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76"/>
      <c r="AS29" s="76"/>
      <c r="AT29" s="76"/>
      <c r="AU29" s="76"/>
      <c r="AV29" s="67">
        <f t="shared" si="0"/>
        <v>1</v>
      </c>
    </row>
    <row r="30" spans="1:48" s="183" customFormat="1" ht="12.75">
      <c r="A30" s="66">
        <v>255</v>
      </c>
      <c r="B30" s="66" t="str">
        <f>'Comp 25-26'!A26</f>
        <v>Vacant</v>
      </c>
      <c r="C30" s="66" t="str">
        <f>'Comp 25-26'!C26</f>
        <v>Medicaid Benefits Counselor</v>
      </c>
      <c r="D30" s="180"/>
      <c r="E30" s="180"/>
      <c r="F30" s="180"/>
      <c r="G30" s="180"/>
      <c r="H30" s="180"/>
      <c r="I30" s="180"/>
      <c r="J30" s="180"/>
      <c r="K30" s="180"/>
      <c r="L30" s="181"/>
      <c r="M30" s="180"/>
      <c r="N30" s="180"/>
      <c r="O30" s="180"/>
      <c r="P30" s="180"/>
      <c r="Q30" s="180"/>
      <c r="R30" s="181"/>
      <c r="S30" s="180"/>
      <c r="T30" s="180"/>
      <c r="U30" s="182">
        <v>1</v>
      </c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2"/>
      <c r="AS30" s="182"/>
      <c r="AT30" s="182"/>
      <c r="AU30" s="182"/>
      <c r="AV30" s="67">
        <f t="shared" si="0"/>
        <v>1</v>
      </c>
    </row>
    <row r="31" spans="1:48" s="183" customFormat="1" ht="12.75">
      <c r="A31" s="66">
        <v>173</v>
      </c>
      <c r="B31" s="66" t="str">
        <f>'Comp 25-26'!A27</f>
        <v>Guerra, Luz Josefina</v>
      </c>
      <c r="C31" s="66" t="str">
        <f>'Comp 25-26'!C27</f>
        <v>Medicaid Benefits Counselor</v>
      </c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1"/>
      <c r="V31" s="180"/>
      <c r="W31" s="180"/>
      <c r="X31" s="180"/>
      <c r="Y31" s="182">
        <v>1</v>
      </c>
      <c r="Z31" s="182"/>
      <c r="AA31" s="182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2"/>
      <c r="AS31" s="182"/>
      <c r="AT31" s="182"/>
      <c r="AU31" s="182"/>
      <c r="AV31" s="67">
        <f t="shared" si="0"/>
        <v>1</v>
      </c>
    </row>
    <row r="32" spans="1:48" ht="12.75">
      <c r="A32" s="66">
        <v>226</v>
      </c>
      <c r="B32" s="66" t="str">
        <f>'Comp 25-26'!A28</f>
        <v>Handa, Parul</v>
      </c>
      <c r="C32" s="66" t="str">
        <f>'Comp 25-26'!C28</f>
        <v>Grant Accountant</v>
      </c>
      <c r="D32" s="76"/>
      <c r="E32" s="76">
        <v>0.03</v>
      </c>
      <c r="F32" s="54"/>
      <c r="G32" s="76">
        <v>0.25</v>
      </c>
      <c r="H32" s="54"/>
      <c r="I32" s="54"/>
      <c r="J32" s="54"/>
      <c r="K32" s="76">
        <v>0</v>
      </c>
      <c r="L32" s="76">
        <v>0.1</v>
      </c>
      <c r="M32" s="76">
        <v>6.25E-2</v>
      </c>
      <c r="N32" s="54"/>
      <c r="O32" s="54"/>
      <c r="P32" s="54"/>
      <c r="Q32" s="54"/>
      <c r="R32" s="76">
        <v>0.3</v>
      </c>
      <c r="S32" s="54"/>
      <c r="T32" s="54"/>
      <c r="U32" s="54"/>
      <c r="V32" s="67"/>
      <c r="W32" s="67"/>
      <c r="X32" s="67"/>
      <c r="Y32" s="67"/>
      <c r="Z32" s="67"/>
      <c r="AA32" s="67"/>
      <c r="AB32" s="67"/>
      <c r="AC32" s="54"/>
      <c r="AD32" s="76">
        <v>0.06</v>
      </c>
      <c r="AE32" s="76">
        <v>4.7500000000000001E-2</v>
      </c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76"/>
      <c r="AS32" s="76"/>
      <c r="AT32" s="76">
        <v>0.05</v>
      </c>
      <c r="AU32" s="76">
        <v>0.1</v>
      </c>
      <c r="AV32" s="67">
        <f t="shared" si="0"/>
        <v>1</v>
      </c>
    </row>
    <row r="33" spans="1:48" s="183" customFormat="1" ht="12.75">
      <c r="A33" s="66">
        <v>194</v>
      </c>
      <c r="B33" s="66" t="str">
        <f>'Comp 25-26'!A29</f>
        <v>Hart, Edward</v>
      </c>
      <c r="C33" s="66" t="str">
        <f>'Comp 25-26'!C29</f>
        <v>Information &amp; Assistance Specialist</v>
      </c>
      <c r="D33" s="180"/>
      <c r="E33" s="182">
        <v>0.57999999999999996</v>
      </c>
      <c r="F33" s="180"/>
      <c r="G33" s="181"/>
      <c r="H33" s="180"/>
      <c r="I33" s="180"/>
      <c r="J33" s="180"/>
      <c r="K33" s="180"/>
      <c r="L33" s="181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2">
        <v>0.42</v>
      </c>
      <c r="AR33" s="182"/>
      <c r="AS33" s="182"/>
      <c r="AT33" s="182"/>
      <c r="AU33" s="182"/>
      <c r="AV33" s="67">
        <f t="shared" si="0"/>
        <v>1</v>
      </c>
    </row>
    <row r="34" spans="1:48" ht="12.75">
      <c r="A34" s="66">
        <v>238</v>
      </c>
      <c r="B34" s="66" t="str">
        <f>'Comp 25-26'!A30</f>
        <v>Hazley, Shakeita</v>
      </c>
      <c r="C34" s="66" t="str">
        <f>'Comp 25-26'!C30</f>
        <v>Program Coordinator</v>
      </c>
      <c r="D34" s="67"/>
      <c r="E34" s="54"/>
      <c r="F34" s="76">
        <v>0.22</v>
      </c>
      <c r="G34" s="54"/>
      <c r="H34" s="54"/>
      <c r="I34" s="54"/>
      <c r="J34" s="76">
        <v>0.43</v>
      </c>
      <c r="K34" s="76">
        <v>0.05</v>
      </c>
      <c r="L34" s="76">
        <v>0.3</v>
      </c>
      <c r="M34" s="67"/>
      <c r="N34" s="54"/>
      <c r="O34" s="54"/>
      <c r="P34" s="54"/>
      <c r="Q34" s="54"/>
      <c r="R34" s="67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7"/>
      <c r="AE34" s="67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76"/>
      <c r="AS34" s="76"/>
      <c r="AT34" s="76"/>
      <c r="AU34" s="76"/>
      <c r="AV34" s="67">
        <f t="shared" si="0"/>
        <v>1</v>
      </c>
    </row>
    <row r="35" spans="1:48" s="183" customFormat="1" ht="12.75">
      <c r="A35" s="66">
        <v>236</v>
      </c>
      <c r="B35" s="66" t="str">
        <f>'Comp 25-26'!A31</f>
        <v>Hensler, Jody</v>
      </c>
      <c r="C35" s="66" t="str">
        <f>'Comp 25-26'!C31</f>
        <v>Caregiver Specialist Coordinator</v>
      </c>
      <c r="D35" s="180"/>
      <c r="E35" s="181"/>
      <c r="F35" s="180"/>
      <c r="G35" s="180"/>
      <c r="H35" s="180"/>
      <c r="I35" s="180"/>
      <c r="J35" s="182">
        <v>1</v>
      </c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1"/>
      <c r="AR35" s="182"/>
      <c r="AS35" s="182"/>
      <c r="AT35" s="182"/>
      <c r="AU35" s="182"/>
      <c r="AV35" s="67">
        <f t="shared" si="0"/>
        <v>1</v>
      </c>
    </row>
    <row r="36" spans="1:48" s="183" customFormat="1" ht="13.5" customHeight="1">
      <c r="A36" s="66">
        <v>64</v>
      </c>
      <c r="B36" s="66" t="str">
        <f>'Comp 25-26'!A32</f>
        <v>Herlache, Margaret Anne</v>
      </c>
      <c r="C36" s="66" t="str">
        <f>'Comp 25-26'!C32</f>
        <v>Senior Community Health Coordinator</v>
      </c>
      <c r="D36" s="181"/>
      <c r="E36" s="181"/>
      <c r="F36" s="181"/>
      <c r="G36" s="180"/>
      <c r="H36" s="180"/>
      <c r="I36" s="180"/>
      <c r="J36" s="181"/>
      <c r="K36" s="182">
        <v>0</v>
      </c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1"/>
      <c r="W36" s="180"/>
      <c r="X36" s="181"/>
      <c r="Y36" s="180"/>
      <c r="Z36" s="182">
        <v>0</v>
      </c>
      <c r="AA36" s="182">
        <v>0</v>
      </c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1"/>
      <c r="AP36" s="181"/>
      <c r="AQ36" s="181"/>
      <c r="AR36" s="182"/>
      <c r="AS36" s="182">
        <v>0</v>
      </c>
      <c r="AT36" s="182"/>
      <c r="AU36" s="182">
        <v>1</v>
      </c>
      <c r="AV36" s="67">
        <f t="shared" si="0"/>
        <v>1</v>
      </c>
    </row>
    <row r="37" spans="1:48" s="183" customFormat="1" ht="12.75">
      <c r="A37" s="66">
        <v>77</v>
      </c>
      <c r="B37" s="66" t="str">
        <f>'Comp 25-26'!A33</f>
        <v>Hernandez, Daphne</v>
      </c>
      <c r="C37" s="66" t="str">
        <f>'Comp 25-26'!C33</f>
        <v>Information &amp; Assistance Specialist</v>
      </c>
      <c r="D37" s="180"/>
      <c r="E37" s="182">
        <v>0.57999999999999996</v>
      </c>
      <c r="F37" s="180"/>
      <c r="G37" s="180"/>
      <c r="H37" s="180"/>
      <c r="I37" s="180"/>
      <c r="J37" s="181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2">
        <v>0.42</v>
      </c>
      <c r="AR37" s="182"/>
      <c r="AS37" s="182"/>
      <c r="AT37" s="182"/>
      <c r="AU37" s="182"/>
      <c r="AV37" s="67">
        <f t="shared" si="0"/>
        <v>1</v>
      </c>
    </row>
    <row r="38" spans="1:48" s="183" customFormat="1" ht="12.75">
      <c r="A38" s="66">
        <v>214</v>
      </c>
      <c r="B38" s="66" t="str">
        <f>'Comp 25-26'!A34</f>
        <v>Heuerman, Blake</v>
      </c>
      <c r="C38" s="66" t="str">
        <f>'Comp 25-26'!C34</f>
        <v>Information &amp; Assistance Specialist</v>
      </c>
      <c r="D38" s="181"/>
      <c r="E38" s="181">
        <v>0.57999999999999996</v>
      </c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1"/>
      <c r="AL38" s="181"/>
      <c r="AM38" s="181"/>
      <c r="AN38" s="181"/>
      <c r="AO38" s="180"/>
      <c r="AP38" s="180"/>
      <c r="AQ38" s="182">
        <v>0.42</v>
      </c>
      <c r="AR38" s="182"/>
      <c r="AS38" s="182"/>
      <c r="AT38" s="182"/>
      <c r="AU38" s="182"/>
      <c r="AV38" s="67">
        <f t="shared" si="0"/>
        <v>1</v>
      </c>
    </row>
    <row r="39" spans="1:48" s="183" customFormat="1" ht="12.75">
      <c r="A39" s="66">
        <v>371</v>
      </c>
      <c r="B39" s="66" t="str">
        <f>'Comp 25-26'!A35</f>
        <v>Jusovich, Elvira</v>
      </c>
      <c r="C39" s="66" t="str">
        <f>'Comp 25-26'!C35</f>
        <v>Information &amp; Assistance Specialist</v>
      </c>
      <c r="D39" s="180"/>
      <c r="E39" s="181">
        <v>0.57999999999999996</v>
      </c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  <c r="AN39" s="180"/>
      <c r="AO39" s="180"/>
      <c r="AP39" s="180"/>
      <c r="AQ39" s="181">
        <v>0.42</v>
      </c>
      <c r="AR39" s="182"/>
      <c r="AS39" s="182"/>
      <c r="AT39" s="182"/>
      <c r="AU39" s="182"/>
      <c r="AV39" s="67">
        <f t="shared" si="0"/>
        <v>1</v>
      </c>
    </row>
    <row r="40" spans="1:48" ht="12.75">
      <c r="A40" s="66">
        <v>264</v>
      </c>
      <c r="B40" s="66" t="str">
        <f>'Comp 25-26'!A36</f>
        <v>Holder-Hurley, Laura Kay</v>
      </c>
      <c r="C40" s="66" t="str">
        <f>'Comp 25-26'!C36</f>
        <v>AP Payroll Specialist</v>
      </c>
      <c r="D40" s="76">
        <v>0.6</v>
      </c>
      <c r="E40" s="67"/>
      <c r="F40" s="54"/>
      <c r="G40" s="76">
        <v>0.15</v>
      </c>
      <c r="H40" s="54"/>
      <c r="I40" s="54"/>
      <c r="J40" s="54"/>
      <c r="K40" s="76">
        <v>0.15</v>
      </c>
      <c r="L40" s="54"/>
      <c r="M40" s="54"/>
      <c r="N40" s="54"/>
      <c r="O40" s="54"/>
      <c r="P40" s="54"/>
      <c r="Q40" s="54"/>
      <c r="R40" s="76"/>
      <c r="S40" s="76"/>
      <c r="T40" s="76"/>
      <c r="U40" s="54"/>
      <c r="V40" s="54"/>
      <c r="W40" s="54"/>
      <c r="X40" s="54"/>
      <c r="Y40" s="54"/>
      <c r="Z40" s="54"/>
      <c r="AA40" s="54"/>
      <c r="AB40" s="54"/>
      <c r="AC40" s="54"/>
      <c r="AD40" s="76">
        <v>0.06</v>
      </c>
      <c r="AE40" s="76">
        <v>0.04</v>
      </c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67"/>
      <c r="AR40" s="76"/>
      <c r="AS40" s="76"/>
      <c r="AT40" s="76"/>
      <c r="AU40" s="76"/>
      <c r="AV40" s="67">
        <f t="shared" si="0"/>
        <v>1</v>
      </c>
    </row>
    <row r="41" spans="1:48" s="183" customFormat="1" ht="12.75">
      <c r="A41" s="66">
        <v>92</v>
      </c>
      <c r="B41" s="66" t="str">
        <f>'Comp 25-26'!A37</f>
        <v>Palacio, Adriana</v>
      </c>
      <c r="C41" s="66" t="str">
        <f>'Comp 25-26'!C37</f>
        <v>Intake Specialist</v>
      </c>
      <c r="D41" s="180"/>
      <c r="E41" s="181"/>
      <c r="F41" s="180"/>
      <c r="G41" s="180"/>
      <c r="H41" s="180"/>
      <c r="I41" s="180"/>
      <c r="J41" s="180"/>
      <c r="K41" s="182">
        <v>0.76</v>
      </c>
      <c r="L41" s="182">
        <v>0.24</v>
      </c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1"/>
      <c r="AR41" s="182"/>
      <c r="AS41" s="182"/>
      <c r="AT41" s="182"/>
      <c r="AU41" s="182"/>
      <c r="AV41" s="67">
        <f t="shared" si="0"/>
        <v>1</v>
      </c>
    </row>
    <row r="42" spans="1:48" ht="12.75">
      <c r="A42" s="66">
        <v>358</v>
      </c>
      <c r="B42" s="66" t="str">
        <f>'Comp 25-26'!A38</f>
        <v>Jalazo, Kristina</v>
      </c>
      <c r="C42" s="66" t="str">
        <f>'Comp 25-26'!C38</f>
        <v xml:space="preserve">Chief Financial Officer </v>
      </c>
      <c r="D42" s="67">
        <v>0.04</v>
      </c>
      <c r="E42" s="54"/>
      <c r="F42" s="54"/>
      <c r="G42" s="54"/>
      <c r="H42" s="54"/>
      <c r="I42" s="76">
        <v>0.15</v>
      </c>
      <c r="J42" s="54"/>
      <c r="K42" s="67">
        <v>0.05</v>
      </c>
      <c r="L42" s="54"/>
      <c r="M42" s="76">
        <v>0</v>
      </c>
      <c r="N42" s="67">
        <v>0.2</v>
      </c>
      <c r="O42" s="67">
        <v>0.12</v>
      </c>
      <c r="P42" s="76">
        <v>0.05</v>
      </c>
      <c r="Q42" s="54"/>
      <c r="R42" s="54"/>
      <c r="S42" s="54"/>
      <c r="T42" s="54"/>
      <c r="U42" s="54"/>
      <c r="V42" s="54"/>
      <c r="W42" s="67">
        <v>0.03</v>
      </c>
      <c r="X42" s="54"/>
      <c r="Y42" s="54"/>
      <c r="Z42" s="54"/>
      <c r="AA42" s="54"/>
      <c r="AB42" s="54"/>
      <c r="AC42" s="54"/>
      <c r="AD42" s="67">
        <v>0.18</v>
      </c>
      <c r="AE42" s="76">
        <v>0.18</v>
      </c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76"/>
      <c r="AR42" s="76"/>
      <c r="AS42" s="76"/>
      <c r="AT42" s="76"/>
      <c r="AU42" s="76"/>
      <c r="AV42" s="67">
        <f t="shared" si="0"/>
        <v>1</v>
      </c>
    </row>
    <row r="43" spans="1:48" s="183" customFormat="1" ht="12.75">
      <c r="A43" s="66">
        <v>188</v>
      </c>
      <c r="B43" s="66" t="str">
        <f>'Comp 25-26'!A39</f>
        <v>Johns, Virginia</v>
      </c>
      <c r="C43" s="66" t="str">
        <f>'Comp 25-26'!C39</f>
        <v>VA Case Manager</v>
      </c>
      <c r="D43" s="180"/>
      <c r="E43" s="180"/>
      <c r="F43" s="180"/>
      <c r="G43" s="181"/>
      <c r="H43" s="180"/>
      <c r="I43" s="180"/>
      <c r="J43" s="180"/>
      <c r="K43" s="181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2">
        <v>0.75</v>
      </c>
      <c r="AE43" s="182">
        <v>0.25</v>
      </c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2"/>
      <c r="AS43" s="182"/>
      <c r="AT43" s="182"/>
      <c r="AU43" s="182"/>
      <c r="AV43" s="67">
        <f t="shared" si="0"/>
        <v>1</v>
      </c>
    </row>
    <row r="44" spans="1:48" s="183" customFormat="1" ht="12.75">
      <c r="A44" s="66">
        <v>373</v>
      </c>
      <c r="B44" s="66" t="str">
        <f>'Comp 25-26'!A40</f>
        <v>Settle, Regina</v>
      </c>
      <c r="C44" s="66" t="str">
        <f>'Comp 25-26'!C40</f>
        <v>Chore Services Coordinator</v>
      </c>
      <c r="D44" s="181"/>
      <c r="E44" s="181"/>
      <c r="F44" s="180"/>
      <c r="G44" s="180"/>
      <c r="H44" s="180"/>
      <c r="I44" s="180"/>
      <c r="J44" s="180"/>
      <c r="K44" s="180"/>
      <c r="L44" s="180"/>
      <c r="M44" s="180"/>
      <c r="N44" s="181"/>
      <c r="O44" s="181"/>
      <c r="P44" s="181"/>
      <c r="Q44" s="180"/>
      <c r="R44" s="180"/>
      <c r="S44" s="181"/>
      <c r="T44" s="181"/>
      <c r="U44" s="180"/>
      <c r="V44" s="181"/>
      <c r="W44" s="180"/>
      <c r="X44" s="180"/>
      <c r="Y44" s="180"/>
      <c r="Z44" s="180"/>
      <c r="AA44" s="180"/>
      <c r="AB44" s="180"/>
      <c r="AC44" s="180"/>
      <c r="AD44" s="181"/>
      <c r="AE44" s="181"/>
      <c r="AF44" s="180"/>
      <c r="AG44" s="181"/>
      <c r="AH44" s="181"/>
      <c r="AI44" s="181"/>
      <c r="AJ44" s="181"/>
      <c r="AK44" s="180"/>
      <c r="AL44" s="180"/>
      <c r="AM44" s="180"/>
      <c r="AN44" s="180"/>
      <c r="AO44" s="181">
        <v>0.8</v>
      </c>
      <c r="AP44" s="181">
        <v>0.2</v>
      </c>
      <c r="AQ44" s="180"/>
      <c r="AR44" s="182"/>
      <c r="AS44" s="182"/>
      <c r="AT44" s="182"/>
      <c r="AU44" s="182"/>
      <c r="AV44" s="67">
        <f t="shared" si="0"/>
        <v>1</v>
      </c>
    </row>
    <row r="45" spans="1:48" s="183" customFormat="1" ht="12.75">
      <c r="A45" s="66">
        <v>232</v>
      </c>
      <c r="B45" s="66" t="str">
        <f>'Comp 25-26'!A41</f>
        <v>Eaton, Bryce</v>
      </c>
      <c r="C45" s="66" t="str">
        <f>'Comp 25-26'!C41</f>
        <v>Intake Specialist</v>
      </c>
      <c r="D45" s="180"/>
      <c r="E45" s="180"/>
      <c r="F45" s="180"/>
      <c r="G45" s="180"/>
      <c r="H45" s="180"/>
      <c r="I45" s="180"/>
      <c r="J45" s="180"/>
      <c r="K45" s="182">
        <v>0.76</v>
      </c>
      <c r="L45" s="182">
        <v>0.24</v>
      </c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1"/>
      <c r="AE45" s="181"/>
      <c r="AF45" s="180"/>
      <c r="AG45" s="180"/>
      <c r="AH45" s="180"/>
      <c r="AI45" s="180"/>
      <c r="AJ45" s="180"/>
      <c r="AK45" s="180"/>
      <c r="AL45" s="180"/>
      <c r="AM45" s="180"/>
      <c r="AN45" s="180"/>
      <c r="AO45" s="180"/>
      <c r="AP45" s="180"/>
      <c r="AQ45" s="180"/>
      <c r="AR45" s="182"/>
      <c r="AS45" s="182"/>
      <c r="AT45" s="182"/>
      <c r="AU45" s="182"/>
      <c r="AV45" s="67">
        <f t="shared" si="0"/>
        <v>1</v>
      </c>
    </row>
    <row r="46" spans="1:48" s="183" customFormat="1" ht="12.75">
      <c r="A46" s="66">
        <v>254</v>
      </c>
      <c r="B46" s="66" t="str">
        <f>'Comp 25-26'!A42</f>
        <v>Martin, Kendall Ann</v>
      </c>
      <c r="C46" s="66" t="str">
        <f>'Comp 25-26'!C42</f>
        <v>Intake Specialist</v>
      </c>
      <c r="D46" s="180"/>
      <c r="E46" s="180"/>
      <c r="F46" s="180"/>
      <c r="G46" s="180"/>
      <c r="H46" s="180"/>
      <c r="I46" s="180"/>
      <c r="J46" s="180"/>
      <c r="K46" s="182">
        <v>0.76</v>
      </c>
      <c r="L46" s="182">
        <v>0.24</v>
      </c>
      <c r="M46" s="180"/>
      <c r="N46" s="180"/>
      <c r="O46" s="180"/>
      <c r="P46" s="180"/>
      <c r="Q46" s="180"/>
      <c r="R46" s="180"/>
      <c r="S46" s="180"/>
      <c r="T46" s="180"/>
      <c r="U46" s="180"/>
      <c r="V46" s="181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1"/>
      <c r="AP46" s="180"/>
      <c r="AQ46" s="180"/>
      <c r="AR46" s="182"/>
      <c r="AS46" s="182"/>
      <c r="AT46" s="182"/>
      <c r="AU46" s="182"/>
      <c r="AV46" s="67">
        <f t="shared" si="0"/>
        <v>1</v>
      </c>
    </row>
    <row r="47" spans="1:48" s="183" customFormat="1" ht="12.75">
      <c r="A47" s="66">
        <v>375</v>
      </c>
      <c r="B47" s="66" t="str">
        <f>'Comp 25-26'!A43</f>
        <v>Young, Stephanie</v>
      </c>
      <c r="C47" s="66" t="str">
        <f>'Comp 25-26'!C43</f>
        <v>Health and Wellness Coordinator</v>
      </c>
      <c r="D47" s="180"/>
      <c r="E47" s="180"/>
      <c r="F47" s="180"/>
      <c r="G47" s="180"/>
      <c r="H47" s="180"/>
      <c r="I47" s="180"/>
      <c r="J47" s="180"/>
      <c r="K47" s="181"/>
      <c r="L47" s="181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2">
        <v>0.6</v>
      </c>
      <c r="AG47" s="182">
        <v>0</v>
      </c>
      <c r="AH47" s="182">
        <v>0.05</v>
      </c>
      <c r="AI47" s="182">
        <v>7.0000000000000007E-2</v>
      </c>
      <c r="AJ47" s="182">
        <v>0.2</v>
      </c>
      <c r="AK47" s="182">
        <v>0.08</v>
      </c>
      <c r="AL47" s="182"/>
      <c r="AM47" s="182"/>
      <c r="AN47" s="182"/>
      <c r="AO47" s="180"/>
      <c r="AP47" s="180"/>
      <c r="AQ47" s="180"/>
      <c r="AR47" s="182"/>
      <c r="AS47" s="182"/>
      <c r="AT47" s="182"/>
      <c r="AU47" s="182"/>
      <c r="AV47" s="67">
        <f t="shared" si="0"/>
        <v>0.99999999999999989</v>
      </c>
    </row>
    <row r="48" spans="1:48" s="183" customFormat="1" ht="12.75">
      <c r="A48" s="66"/>
      <c r="B48" s="66" t="str">
        <f>'Comp 25-26'!A44</f>
        <v>Marisha, Eva</v>
      </c>
      <c r="C48" s="66" t="str">
        <f>'Comp 25-26'!C44</f>
        <v>Shine Program Assistant</v>
      </c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2">
        <v>1</v>
      </c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1"/>
      <c r="AG48" s="181"/>
      <c r="AH48" s="181"/>
      <c r="AI48" s="181"/>
      <c r="AJ48" s="181"/>
      <c r="AK48" s="181"/>
      <c r="AL48" s="181"/>
      <c r="AM48" s="181"/>
      <c r="AN48" s="181"/>
      <c r="AO48" s="180"/>
      <c r="AP48" s="180"/>
      <c r="AQ48" s="180"/>
      <c r="AR48" s="182"/>
      <c r="AS48" s="182"/>
      <c r="AT48" s="182"/>
      <c r="AU48" s="182"/>
      <c r="AV48" s="67">
        <f t="shared" si="0"/>
        <v>1</v>
      </c>
    </row>
    <row r="49" spans="1:48" s="183" customFormat="1" ht="12.75">
      <c r="A49" s="66">
        <v>252</v>
      </c>
      <c r="B49" s="66" t="str">
        <f>'Comp 25-26'!A45</f>
        <v>Marsalek, Kerry</v>
      </c>
      <c r="C49" s="66" t="str">
        <f>'Comp 25-26'!C45</f>
        <v xml:space="preserve">Director of Healthcare and Innovation </v>
      </c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2">
        <v>0.1</v>
      </c>
      <c r="O49" s="182">
        <v>0.15</v>
      </c>
      <c r="P49" s="182">
        <v>0.05</v>
      </c>
      <c r="Q49" s="182">
        <v>0</v>
      </c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2">
        <v>0.05</v>
      </c>
      <c r="AE49" s="182">
        <v>0.05</v>
      </c>
      <c r="AF49" s="181"/>
      <c r="AG49" s="181"/>
      <c r="AH49" s="181"/>
      <c r="AI49" s="181"/>
      <c r="AJ49" s="181"/>
      <c r="AK49" s="181"/>
      <c r="AL49" s="181"/>
      <c r="AM49" s="181"/>
      <c r="AN49" s="181"/>
      <c r="AO49" s="180"/>
      <c r="AP49" s="180"/>
      <c r="AQ49" s="180"/>
      <c r="AR49" s="182"/>
      <c r="AS49" s="182"/>
      <c r="AT49" s="182">
        <v>0.6</v>
      </c>
      <c r="AU49" s="182"/>
      <c r="AV49" s="67">
        <f t="shared" si="0"/>
        <v>1</v>
      </c>
    </row>
    <row r="50" spans="1:48" ht="12.75">
      <c r="A50" s="66">
        <v>249</v>
      </c>
      <c r="B50" s="66" t="str">
        <f>'Comp 25-26'!A46</f>
        <v>Martino, Tawnya</v>
      </c>
      <c r="C50" s="66" t="str">
        <f>'Comp 25-26'!C46</f>
        <v>ADRC Director</v>
      </c>
      <c r="D50" s="76">
        <v>0.02</v>
      </c>
      <c r="E50" s="76">
        <v>0.25</v>
      </c>
      <c r="F50" s="54"/>
      <c r="G50" s="76">
        <v>0.15</v>
      </c>
      <c r="H50" s="54"/>
      <c r="I50" s="76">
        <v>0.08</v>
      </c>
      <c r="J50" s="54"/>
      <c r="K50" s="76">
        <v>0.2</v>
      </c>
      <c r="L50" s="76">
        <v>0</v>
      </c>
      <c r="M50" s="54"/>
      <c r="N50" s="67"/>
      <c r="O50" s="67"/>
      <c r="P50" s="67"/>
      <c r="Q50" s="54"/>
      <c r="R50" s="54"/>
      <c r="S50" s="54"/>
      <c r="T50" s="54"/>
      <c r="U50" s="54"/>
      <c r="V50" s="54"/>
      <c r="W50" s="76">
        <v>7.0000000000000007E-2</v>
      </c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76">
        <v>0.23</v>
      </c>
      <c r="AR50" s="76"/>
      <c r="AS50" s="76"/>
      <c r="AT50" s="76"/>
      <c r="AU50" s="76"/>
      <c r="AV50" s="67">
        <f t="shared" si="0"/>
        <v>1</v>
      </c>
    </row>
    <row r="51" spans="1:48" s="183" customFormat="1" ht="12.75">
      <c r="A51" s="66">
        <v>75</v>
      </c>
      <c r="B51" s="66" t="str">
        <f>'Comp 25-26'!A47</f>
        <v>Maulorico, Debra J</v>
      </c>
      <c r="C51" s="66" t="str">
        <f>'Comp 25-26'!C47</f>
        <v>Medicaid Waiver QA Specialist</v>
      </c>
      <c r="D51" s="181"/>
      <c r="E51" s="180"/>
      <c r="F51" s="180"/>
      <c r="G51" s="180"/>
      <c r="H51" s="180"/>
      <c r="I51" s="180"/>
      <c r="J51" s="181"/>
      <c r="K51" s="180"/>
      <c r="L51" s="180"/>
      <c r="M51" s="180"/>
      <c r="N51" s="181"/>
      <c r="O51" s="181"/>
      <c r="P51" s="181"/>
      <c r="Q51" s="180"/>
      <c r="R51" s="180"/>
      <c r="S51" s="180"/>
      <c r="T51" s="180"/>
      <c r="U51" s="182">
        <v>1</v>
      </c>
      <c r="V51" s="180"/>
      <c r="W51" s="180"/>
      <c r="X51" s="180"/>
      <c r="Y51" s="180"/>
      <c r="Z51" s="180"/>
      <c r="AA51" s="180"/>
      <c r="AB51" s="180"/>
      <c r="AC51" s="180"/>
      <c r="AD51" s="181"/>
      <c r="AE51" s="181"/>
      <c r="AF51" s="180"/>
      <c r="AG51" s="180"/>
      <c r="AH51" s="180"/>
      <c r="AI51" s="180"/>
      <c r="AJ51" s="180"/>
      <c r="AK51" s="181"/>
      <c r="AL51" s="181"/>
      <c r="AM51" s="181"/>
      <c r="AN51" s="181"/>
      <c r="AO51" s="181"/>
      <c r="AP51" s="180"/>
      <c r="AQ51" s="180"/>
      <c r="AR51" s="182"/>
      <c r="AS51" s="182"/>
      <c r="AT51" s="182"/>
      <c r="AU51" s="182"/>
      <c r="AV51" s="67">
        <f t="shared" si="0"/>
        <v>1</v>
      </c>
    </row>
    <row r="52" spans="1:48" s="183" customFormat="1" ht="12.75">
      <c r="A52" s="66">
        <v>95</v>
      </c>
      <c r="B52" s="66" t="str">
        <f>'Comp 25-26'!A48</f>
        <v>Miller, Amanda D</v>
      </c>
      <c r="C52" s="66" t="str">
        <f>'Comp 25-26'!C48</f>
        <v>Intake Specialist</v>
      </c>
      <c r="D52" s="181"/>
      <c r="E52" s="181"/>
      <c r="F52" s="180"/>
      <c r="G52" s="181"/>
      <c r="H52" s="180"/>
      <c r="I52" s="181"/>
      <c r="J52" s="180"/>
      <c r="K52" s="181">
        <v>0.76</v>
      </c>
      <c r="L52" s="181">
        <v>0.24</v>
      </c>
      <c r="M52" s="180"/>
      <c r="N52" s="180"/>
      <c r="O52" s="180"/>
      <c r="P52" s="182"/>
      <c r="Q52" s="180"/>
      <c r="R52" s="180"/>
      <c r="S52" s="180"/>
      <c r="T52" s="180"/>
      <c r="U52" s="180"/>
      <c r="V52" s="180"/>
      <c r="W52" s="181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2"/>
      <c r="AS52" s="182"/>
      <c r="AT52" s="182"/>
      <c r="AU52" s="182"/>
      <c r="AV52" s="67">
        <f t="shared" si="0"/>
        <v>1</v>
      </c>
    </row>
    <row r="53" spans="1:48" s="183" customFormat="1" ht="12.75">
      <c r="A53" s="66">
        <v>198</v>
      </c>
      <c r="B53" s="66" t="str">
        <f>'Comp 25-26'!A49</f>
        <v>Nault, Remedios Paclibare</v>
      </c>
      <c r="C53" s="66" t="str">
        <f>'Comp 25-26'!C49</f>
        <v>SMP Program Assistant</v>
      </c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2">
        <v>1</v>
      </c>
      <c r="Q53" s="180"/>
      <c r="R53" s="180"/>
      <c r="S53" s="180"/>
      <c r="T53" s="180"/>
      <c r="U53" s="181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180"/>
      <c r="AJ53" s="180"/>
      <c r="AK53" s="180"/>
      <c r="AL53" s="180"/>
      <c r="AM53" s="180"/>
      <c r="AN53" s="180"/>
      <c r="AO53" s="180"/>
      <c r="AP53" s="180"/>
      <c r="AQ53" s="180"/>
      <c r="AR53" s="182"/>
      <c r="AS53" s="182"/>
      <c r="AT53" s="182"/>
      <c r="AU53" s="182"/>
      <c r="AV53" s="67">
        <f t="shared" si="0"/>
        <v>1</v>
      </c>
    </row>
    <row r="54" spans="1:48" s="183" customFormat="1" ht="12.75">
      <c r="A54" s="66">
        <v>378</v>
      </c>
      <c r="B54" s="66" t="str">
        <f>'Comp 25-26'!A50</f>
        <v>Newman, Judith</v>
      </c>
      <c r="C54" s="66" t="str">
        <f>'Comp 25-26'!C50</f>
        <v>VA Program Manager</v>
      </c>
      <c r="D54" s="180"/>
      <c r="E54" s="180"/>
      <c r="F54" s="180"/>
      <c r="G54" s="180"/>
      <c r="H54" s="180"/>
      <c r="I54" s="180"/>
      <c r="J54" s="180"/>
      <c r="K54" s="181"/>
      <c r="L54" s="181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2">
        <v>0.75</v>
      </c>
      <c r="AE54" s="182">
        <v>0.25</v>
      </c>
      <c r="AF54" s="180"/>
      <c r="AG54" s="180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182"/>
      <c r="AS54" s="182"/>
      <c r="AT54" s="182"/>
      <c r="AU54" s="182"/>
      <c r="AV54" s="67">
        <f t="shared" si="0"/>
        <v>1</v>
      </c>
    </row>
    <row r="55" spans="1:48" ht="12.75">
      <c r="A55" s="66">
        <v>227</v>
      </c>
      <c r="B55" s="66" t="str">
        <f>'Comp 25-26'!A51</f>
        <v>Kathryn Bursch</v>
      </c>
      <c r="C55" s="66" t="str">
        <f>'Comp 25-26'!C51</f>
        <v xml:space="preserve">Outreach Manager </v>
      </c>
      <c r="D55" s="54"/>
      <c r="E55" s="54"/>
      <c r="F55" s="54"/>
      <c r="G55" s="54"/>
      <c r="H55" s="76">
        <v>0.49</v>
      </c>
      <c r="I55" s="54"/>
      <c r="J55" s="54"/>
      <c r="K55" s="54"/>
      <c r="L55" s="54"/>
      <c r="M55" s="54"/>
      <c r="N55" s="54"/>
      <c r="O55" s="54"/>
      <c r="P55" s="67"/>
      <c r="Q55" s="256">
        <v>0.23</v>
      </c>
      <c r="R55" s="54"/>
      <c r="S55" s="54"/>
      <c r="T55" s="54"/>
      <c r="U55" s="54"/>
      <c r="V55" s="54"/>
      <c r="W55" s="54"/>
      <c r="X55" s="54"/>
      <c r="Y55" s="54"/>
      <c r="Z55" s="54"/>
      <c r="AA55" s="76">
        <v>0.11</v>
      </c>
      <c r="AB55" s="76">
        <v>0.11</v>
      </c>
      <c r="AC55" s="256">
        <v>0.06</v>
      </c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76"/>
      <c r="AS55" s="76"/>
      <c r="AT55" s="76"/>
      <c r="AU55" s="76"/>
      <c r="AV55" s="67">
        <f t="shared" si="0"/>
        <v>1</v>
      </c>
    </row>
    <row r="56" spans="1:48" ht="12.75">
      <c r="A56" s="66"/>
      <c r="B56" s="66" t="str">
        <f>'Comp 25-26'!A52</f>
        <v>O'Neil McKenna</v>
      </c>
      <c r="C56" s="66" t="str">
        <f>'Comp 25-26'!C52</f>
        <v>Director of Strategic Advancement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67"/>
      <c r="AE56" s="67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76">
        <v>1</v>
      </c>
      <c r="AS56" s="76"/>
      <c r="AT56" s="76"/>
      <c r="AU56" s="76"/>
      <c r="AV56" s="67">
        <f t="shared" si="0"/>
        <v>1</v>
      </c>
    </row>
    <row r="57" spans="1:48" s="183" customFormat="1" ht="12.75">
      <c r="A57" s="66">
        <v>370</v>
      </c>
      <c r="B57" s="66" t="str">
        <f>'Comp 25-26'!A53</f>
        <v>Oros, Eva</v>
      </c>
      <c r="C57" s="66" t="str">
        <f>'Comp 25-26'!C53</f>
        <v>Mental Health Counselor</v>
      </c>
      <c r="D57" s="182"/>
      <c r="E57" s="180"/>
      <c r="F57" s="182">
        <v>1</v>
      </c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2"/>
      <c r="X57" s="180"/>
      <c r="Y57" s="180"/>
      <c r="Z57" s="180"/>
      <c r="AA57" s="180"/>
      <c r="AB57" s="180"/>
      <c r="AC57" s="180"/>
      <c r="AD57" s="181"/>
      <c r="AE57" s="181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2"/>
      <c r="AS57" s="182"/>
      <c r="AT57" s="182"/>
      <c r="AU57" s="182"/>
      <c r="AV57" s="67">
        <f t="shared" si="0"/>
        <v>1</v>
      </c>
    </row>
    <row r="58" spans="1:48" s="183" customFormat="1" ht="12.75">
      <c r="A58" s="66">
        <v>202</v>
      </c>
      <c r="B58" s="66" t="str">
        <f>'Comp 25-26'!A54</f>
        <v>Owens, Shavonne</v>
      </c>
      <c r="C58" s="66" t="str">
        <f>'Comp 25-26'!C54</f>
        <v>Information &amp; Assistance Specialist</v>
      </c>
      <c r="D58" s="181"/>
      <c r="E58" s="182">
        <v>0.57999999999999996</v>
      </c>
      <c r="F58" s="180"/>
      <c r="G58" s="180"/>
      <c r="H58" s="181"/>
      <c r="I58" s="180"/>
      <c r="J58" s="181"/>
      <c r="K58" s="180"/>
      <c r="L58" s="180"/>
      <c r="M58" s="180"/>
      <c r="N58" s="180"/>
      <c r="O58" s="181"/>
      <c r="P58" s="180"/>
      <c r="Q58" s="181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1"/>
      <c r="AC58" s="181"/>
      <c r="AD58" s="180"/>
      <c r="AE58" s="180"/>
      <c r="AF58" s="180"/>
      <c r="AG58" s="180"/>
      <c r="AH58" s="180"/>
      <c r="AI58" s="180"/>
      <c r="AJ58" s="181"/>
      <c r="AK58" s="181"/>
      <c r="AL58" s="181"/>
      <c r="AM58" s="181"/>
      <c r="AN58" s="181"/>
      <c r="AO58" s="180"/>
      <c r="AP58" s="180"/>
      <c r="AQ58" s="182">
        <v>0.42</v>
      </c>
      <c r="AR58" s="182"/>
      <c r="AS58" s="182"/>
      <c r="AT58" s="182"/>
      <c r="AU58" s="182"/>
      <c r="AV58" s="67">
        <f t="shared" si="0"/>
        <v>1</v>
      </c>
    </row>
    <row r="59" spans="1:48" s="183" customFormat="1" ht="12.75">
      <c r="A59" s="66">
        <v>247</v>
      </c>
      <c r="B59" s="66" t="str">
        <f>'Comp 25-26'!A55</f>
        <v>Dangerfield, Shea</v>
      </c>
      <c r="C59" s="66" t="str">
        <f>'Comp 25-26'!C55</f>
        <v>VA Case Manager</v>
      </c>
      <c r="D59" s="180"/>
      <c r="E59" s="180"/>
      <c r="F59" s="181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2">
        <v>0.75</v>
      </c>
      <c r="AE59" s="182">
        <v>0.25</v>
      </c>
      <c r="AF59" s="180"/>
      <c r="AG59" s="180"/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2"/>
      <c r="AS59" s="182"/>
      <c r="AT59" s="182"/>
      <c r="AU59" s="182"/>
      <c r="AV59" s="67">
        <f t="shared" si="0"/>
        <v>1</v>
      </c>
    </row>
    <row r="60" spans="1:48" s="183" customFormat="1" ht="12.75">
      <c r="A60" s="66">
        <v>148</v>
      </c>
      <c r="B60" s="66" t="str">
        <f>'Comp 25-26'!A56</f>
        <v>Vacant</v>
      </c>
      <c r="C60" s="66" t="str">
        <f>'Comp 25-26'!C56</f>
        <v>Information &amp; Assistance Specialist</v>
      </c>
      <c r="D60" s="180"/>
      <c r="E60" s="181">
        <v>0.57999999999999996</v>
      </c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1">
        <v>0.42</v>
      </c>
      <c r="AR60" s="182"/>
      <c r="AS60" s="182"/>
      <c r="AT60" s="182"/>
      <c r="AU60" s="182"/>
      <c r="AV60" s="67">
        <f t="shared" si="0"/>
        <v>1</v>
      </c>
    </row>
    <row r="61" spans="1:48" ht="12.75">
      <c r="A61" s="66">
        <v>83</v>
      </c>
      <c r="B61" s="66" t="str">
        <f>'Comp 25-26'!A57</f>
        <v>Rivera-Dominguez, Yesenia</v>
      </c>
      <c r="C61" s="66" t="str">
        <f>'Comp 25-26'!C57</f>
        <v>OAA Program Manager</v>
      </c>
      <c r="D61" s="76">
        <v>0.105</v>
      </c>
      <c r="E61" s="76">
        <v>0.15</v>
      </c>
      <c r="F61" s="54"/>
      <c r="G61" s="76">
        <v>0.15</v>
      </c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76">
        <v>0.13500000000000001</v>
      </c>
      <c r="W61" s="76">
        <v>0.23</v>
      </c>
      <c r="X61" s="76"/>
      <c r="Y61" s="54"/>
      <c r="Z61" s="76">
        <v>0.15</v>
      </c>
      <c r="AA61" s="54"/>
      <c r="AB61" s="54"/>
      <c r="AC61" s="54"/>
      <c r="AD61" s="67"/>
      <c r="AE61" s="67"/>
      <c r="AF61" s="54"/>
      <c r="AG61" s="54"/>
      <c r="AH61" s="54"/>
      <c r="AI61" s="54"/>
      <c r="AJ61" s="54"/>
      <c r="AK61" s="54"/>
      <c r="AL61" s="54"/>
      <c r="AM61" s="54"/>
      <c r="AN61" s="54"/>
      <c r="AO61" s="76">
        <v>0.05</v>
      </c>
      <c r="AP61" s="76">
        <v>0.03</v>
      </c>
      <c r="AQ61" s="54"/>
      <c r="AR61" s="76"/>
      <c r="AS61" s="76"/>
      <c r="AT61" s="76"/>
      <c r="AU61" s="76"/>
      <c r="AV61" s="67">
        <f t="shared" si="0"/>
        <v>1</v>
      </c>
    </row>
    <row r="62" spans="1:48" ht="12.75">
      <c r="A62" s="66">
        <v>372</v>
      </c>
      <c r="B62" s="66" t="str">
        <f>'Comp 25-26'!A58</f>
        <v>Russo, Devon</v>
      </c>
      <c r="C62" s="66" t="str">
        <f>'Comp 25-26'!C58</f>
        <v>Data IT Support Specialist</v>
      </c>
      <c r="D62" s="54"/>
      <c r="E62" s="67">
        <v>0</v>
      </c>
      <c r="F62" s="54"/>
      <c r="G62" s="76">
        <v>0.08</v>
      </c>
      <c r="H62" s="54"/>
      <c r="I62" s="76">
        <v>0.1</v>
      </c>
      <c r="J62" s="54"/>
      <c r="K62" s="76">
        <v>0.14000000000000001</v>
      </c>
      <c r="L62" s="76"/>
      <c r="M62" s="54"/>
      <c r="N62" s="76">
        <v>0.08</v>
      </c>
      <c r="O62" s="76">
        <v>0.08</v>
      </c>
      <c r="P62" s="76">
        <v>0.08</v>
      </c>
      <c r="Q62" s="54"/>
      <c r="R62" s="54"/>
      <c r="S62" s="54"/>
      <c r="T62" s="54"/>
      <c r="U62" s="54"/>
      <c r="V62" s="54"/>
      <c r="W62" s="76">
        <v>0.08</v>
      </c>
      <c r="X62" s="54"/>
      <c r="Y62" s="54"/>
      <c r="Z62" s="76">
        <v>0.21</v>
      </c>
      <c r="AA62" s="54"/>
      <c r="AB62" s="54"/>
      <c r="AC62" s="54"/>
      <c r="AD62" s="76">
        <v>0.08</v>
      </c>
      <c r="AE62" s="76">
        <v>7.0000000000000007E-2</v>
      </c>
      <c r="AF62" s="76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67"/>
      <c r="AR62" s="76"/>
      <c r="AS62" s="76"/>
      <c r="AT62" s="76"/>
      <c r="AU62" s="76"/>
      <c r="AV62" s="67">
        <f t="shared" si="0"/>
        <v>1</v>
      </c>
    </row>
    <row r="63" spans="1:48" s="183" customFormat="1" ht="12.75">
      <c r="A63" s="66">
        <v>374</v>
      </c>
      <c r="B63" s="66" t="str">
        <f>'Comp 25-26'!A59</f>
        <v>Sanchez, Arlene</v>
      </c>
      <c r="C63" s="66" t="str">
        <f>'Comp 25-26'!C59</f>
        <v>Intake Specialist Coordinator</v>
      </c>
      <c r="D63" s="181"/>
      <c r="E63" s="180"/>
      <c r="F63" s="181"/>
      <c r="G63" s="180"/>
      <c r="H63" s="182"/>
      <c r="I63" s="180"/>
      <c r="J63" s="180"/>
      <c r="K63" s="182">
        <v>0.9</v>
      </c>
      <c r="L63" s="182">
        <v>0.1</v>
      </c>
      <c r="M63" s="181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1"/>
      <c r="AI63" s="180"/>
      <c r="AJ63" s="180"/>
      <c r="AK63" s="180"/>
      <c r="AL63" s="180"/>
      <c r="AM63" s="180"/>
      <c r="AN63" s="180"/>
      <c r="AO63" s="181"/>
      <c r="AP63" s="181"/>
      <c r="AQ63" s="180"/>
      <c r="AR63" s="182"/>
      <c r="AS63" s="182"/>
      <c r="AT63" s="182"/>
      <c r="AU63" s="182"/>
      <c r="AV63" s="67">
        <f t="shared" si="0"/>
        <v>1</v>
      </c>
    </row>
    <row r="64" spans="1:48" s="183" customFormat="1" ht="12.75">
      <c r="A64" s="66">
        <v>150</v>
      </c>
      <c r="B64" s="66" t="str">
        <f>'Comp 25-26'!A60</f>
        <v>Sarivong, Douangchai</v>
      </c>
      <c r="C64" s="66" t="str">
        <f>'Comp 25-26'!C60</f>
        <v>Information &amp; Assistance Specialist</v>
      </c>
      <c r="D64" s="181"/>
      <c r="E64" s="181">
        <v>0.57999999999999996</v>
      </c>
      <c r="F64" s="180"/>
      <c r="G64" s="181"/>
      <c r="H64" s="180"/>
      <c r="I64" s="181"/>
      <c r="J64" s="180"/>
      <c r="K64" s="181"/>
      <c r="L64" s="180"/>
      <c r="M64" s="180"/>
      <c r="N64" s="180"/>
      <c r="O64" s="181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  <c r="AN64" s="180"/>
      <c r="AO64" s="180"/>
      <c r="AP64" s="180"/>
      <c r="AQ64" s="182">
        <v>0.42</v>
      </c>
      <c r="AR64" s="182"/>
      <c r="AS64" s="182"/>
      <c r="AT64" s="182"/>
      <c r="AU64" s="182"/>
      <c r="AV64" s="67">
        <f t="shared" si="0"/>
        <v>1</v>
      </c>
    </row>
    <row r="65" spans="1:48" s="183" customFormat="1" ht="12.75">
      <c r="A65" s="66">
        <v>131</v>
      </c>
      <c r="B65" s="66" t="str">
        <f>'Comp 25-26'!A61</f>
        <v>Scaramuzzini, Anthony</v>
      </c>
      <c r="C65" s="66" t="str">
        <f>'Comp 25-26'!C61</f>
        <v>Information &amp; Assistance Specialist</v>
      </c>
      <c r="D65" s="180"/>
      <c r="E65" s="182">
        <v>0.57999999999999996</v>
      </c>
      <c r="F65" s="180"/>
      <c r="G65" s="181"/>
      <c r="H65" s="180"/>
      <c r="I65" s="180"/>
      <c r="J65" s="180"/>
      <c r="K65" s="180"/>
      <c r="L65" s="181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  <c r="AN65" s="180"/>
      <c r="AO65" s="180"/>
      <c r="AP65" s="180"/>
      <c r="AQ65" s="182">
        <v>0.42</v>
      </c>
      <c r="AR65" s="182"/>
      <c r="AS65" s="182"/>
      <c r="AT65" s="182"/>
      <c r="AU65" s="182"/>
      <c r="AV65" s="67">
        <f t="shared" si="0"/>
        <v>1</v>
      </c>
    </row>
    <row r="66" spans="1:48" s="183" customFormat="1" ht="12.75">
      <c r="A66" s="66">
        <v>369</v>
      </c>
      <c r="B66" s="66" t="str">
        <f>'Comp 25-26'!A62</f>
        <v>Valdes, Elizabeth</v>
      </c>
      <c r="C66" s="66" t="str">
        <f>'Comp 25-26'!C62</f>
        <v>Medicaid Benefits Counselor</v>
      </c>
      <c r="D66" s="180"/>
      <c r="E66" s="181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2">
        <v>1</v>
      </c>
      <c r="Z66" s="182"/>
      <c r="AA66" s="182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  <c r="AN66" s="180"/>
      <c r="AO66" s="180"/>
      <c r="AP66" s="180"/>
      <c r="AQ66" s="181"/>
      <c r="AR66" s="182"/>
      <c r="AS66" s="182"/>
      <c r="AT66" s="182"/>
      <c r="AU66" s="182"/>
      <c r="AV66" s="67">
        <f t="shared" si="0"/>
        <v>1</v>
      </c>
    </row>
    <row r="67" spans="1:48" s="183" customFormat="1" ht="12.75">
      <c r="A67" s="66">
        <v>253</v>
      </c>
      <c r="B67" s="66" t="str">
        <f>'Comp 25-26'!A63</f>
        <v>Vinciguerra, Lucia</v>
      </c>
      <c r="C67" s="66" t="str">
        <f>'Comp 25-26'!C63</f>
        <v>Medicaid Benefits Counselor</v>
      </c>
      <c r="D67" s="180"/>
      <c r="E67" s="181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2">
        <v>1</v>
      </c>
      <c r="Z67" s="182"/>
      <c r="AA67" s="182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1"/>
      <c r="AR67" s="182"/>
      <c r="AS67" s="182"/>
      <c r="AT67" s="182"/>
      <c r="AU67" s="182"/>
      <c r="AV67" s="67">
        <f t="shared" si="0"/>
        <v>1</v>
      </c>
    </row>
    <row r="68" spans="1:48" s="183" customFormat="1" ht="12.75">
      <c r="A68" s="66">
        <v>230</v>
      </c>
      <c r="B68" s="66" t="str">
        <f>'Comp 25-26'!A64</f>
        <v>Carson, Donna</v>
      </c>
      <c r="C68" s="66" t="str">
        <f>'Comp 25-26'!C64</f>
        <v>Receptionist</v>
      </c>
      <c r="D68" s="182">
        <v>1</v>
      </c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1"/>
      <c r="W68" s="181"/>
      <c r="X68" s="181"/>
      <c r="Y68" s="181"/>
      <c r="Z68" s="181"/>
      <c r="AA68" s="181"/>
      <c r="AB68" s="181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2"/>
      <c r="AS68" s="182"/>
      <c r="AT68" s="182"/>
      <c r="AU68" s="182"/>
      <c r="AV68" s="67">
        <f t="shared" si="0"/>
        <v>1</v>
      </c>
    </row>
    <row r="69" spans="1:48" ht="12.75">
      <c r="A69" s="66">
        <v>242</v>
      </c>
      <c r="B69" s="66" t="str">
        <f>'Comp 25-26'!A65</f>
        <v>Waller, Zakiya</v>
      </c>
      <c r="C69" s="66" t="str">
        <f>'Comp 25-26'!C65</f>
        <v>Senior Accountant</v>
      </c>
      <c r="D69" s="76">
        <v>0.59</v>
      </c>
      <c r="E69" s="76">
        <v>0.03</v>
      </c>
      <c r="F69" s="54"/>
      <c r="G69" s="76">
        <v>0.05</v>
      </c>
      <c r="H69" s="54"/>
      <c r="I69" s="76">
        <v>0.05</v>
      </c>
      <c r="J69" s="76">
        <v>0.05</v>
      </c>
      <c r="K69" s="76">
        <v>0</v>
      </c>
      <c r="L69" s="54"/>
      <c r="M69" s="54"/>
      <c r="N69" s="54"/>
      <c r="O69" s="76">
        <v>0.2</v>
      </c>
      <c r="P69" s="54"/>
      <c r="Q69" s="54"/>
      <c r="R69" s="54"/>
      <c r="S69" s="54"/>
      <c r="T69" s="54"/>
      <c r="U69" s="54"/>
      <c r="V69" s="67">
        <v>0.03</v>
      </c>
      <c r="W69" s="67"/>
      <c r="X69" s="67"/>
      <c r="Y69" s="67"/>
      <c r="Z69" s="67"/>
      <c r="AA69" s="67"/>
      <c r="AB69" s="67"/>
      <c r="AC69" s="54"/>
      <c r="AD69" s="54"/>
      <c r="AE69" s="54"/>
      <c r="AF69" s="76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76"/>
      <c r="AS69" s="76"/>
      <c r="AT69" s="76"/>
      <c r="AU69" s="76"/>
      <c r="AV69" s="67">
        <f t="shared" si="0"/>
        <v>1.0000000000000002</v>
      </c>
    </row>
    <row r="70" spans="1:48" ht="12.75">
      <c r="A70" s="66">
        <v>189</v>
      </c>
      <c r="B70" s="66" t="str">
        <f>'Comp 25-26'!A66</f>
        <v>White, Kandice</v>
      </c>
      <c r="C70" s="66" t="str">
        <f>'Comp 25-26'!C66</f>
        <v>Lead Service Analyst</v>
      </c>
      <c r="D70" s="67"/>
      <c r="E70" s="54"/>
      <c r="F70" s="54"/>
      <c r="G70" s="54"/>
      <c r="H70" s="54"/>
      <c r="I70" s="54"/>
      <c r="J70" s="54"/>
      <c r="K70" s="76">
        <v>0.47</v>
      </c>
      <c r="L70" s="54"/>
      <c r="M70" s="54"/>
      <c r="N70" s="54"/>
      <c r="O70" s="54"/>
      <c r="P70" s="54"/>
      <c r="Q70" s="54"/>
      <c r="R70" s="76">
        <v>0.03</v>
      </c>
      <c r="S70" s="76">
        <v>0.11</v>
      </c>
      <c r="T70" s="76">
        <v>0.22</v>
      </c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76">
        <v>0.17</v>
      </c>
      <c r="AR70" s="76"/>
      <c r="AS70" s="76"/>
      <c r="AT70" s="76"/>
      <c r="AU70" s="76"/>
      <c r="AV70" s="67">
        <f t="shared" si="0"/>
        <v>1</v>
      </c>
    </row>
    <row r="71" spans="1:48" s="183" customFormat="1" ht="12.75">
      <c r="A71" s="66">
        <v>115</v>
      </c>
      <c r="B71" s="66" t="str">
        <f>'Comp 25-26'!A67</f>
        <v>Iliana Hade</v>
      </c>
      <c r="C71" s="66" t="str">
        <f>'Comp 25-26'!C67</f>
        <v>Intake Specialist</v>
      </c>
      <c r="D71" s="181"/>
      <c r="E71" s="180"/>
      <c r="F71" s="180"/>
      <c r="G71" s="180"/>
      <c r="H71" s="180"/>
      <c r="I71" s="180"/>
      <c r="J71" s="180"/>
      <c r="K71" s="181">
        <v>0.76</v>
      </c>
      <c r="L71" s="182">
        <v>0.24</v>
      </c>
      <c r="M71" s="180"/>
      <c r="N71" s="181"/>
      <c r="O71" s="181"/>
      <c r="P71" s="181"/>
      <c r="Q71" s="180"/>
      <c r="R71" s="180"/>
      <c r="S71" s="181"/>
      <c r="T71" s="181"/>
      <c r="U71" s="180"/>
      <c r="V71" s="180"/>
      <c r="W71" s="181"/>
      <c r="X71" s="180"/>
      <c r="Y71" s="180"/>
      <c r="Z71" s="180"/>
      <c r="AA71" s="180"/>
      <c r="AB71" s="180"/>
      <c r="AC71" s="180"/>
      <c r="AD71" s="181"/>
      <c r="AE71" s="181"/>
      <c r="AF71" s="180"/>
      <c r="AG71" s="181"/>
      <c r="AH71" s="181"/>
      <c r="AI71" s="181"/>
      <c r="AJ71" s="181"/>
      <c r="AK71" s="180"/>
      <c r="AL71" s="180"/>
      <c r="AM71" s="180"/>
      <c r="AN71" s="180"/>
      <c r="AO71" s="181"/>
      <c r="AP71" s="180"/>
      <c r="AQ71" s="180"/>
      <c r="AR71" s="182"/>
      <c r="AS71" s="182"/>
      <c r="AT71" s="182"/>
      <c r="AU71" s="182"/>
      <c r="AV71" s="67">
        <f t="shared" ref="AV71:AV74" si="1">SUM(D71:AU71)</f>
        <v>1</v>
      </c>
    </row>
    <row r="72" spans="1:48" ht="12.75">
      <c r="A72" s="66">
        <v>146</v>
      </c>
      <c r="B72" s="66" t="str">
        <f>'Comp 25-26'!A68</f>
        <v>Winter, Ann Marie</v>
      </c>
      <c r="C72" s="66" t="str">
        <f>'Comp 25-26'!C68</f>
        <v>Executive Director</v>
      </c>
      <c r="D72" s="67">
        <v>0.63</v>
      </c>
      <c r="E72" s="54"/>
      <c r="F72" s="54"/>
      <c r="G72" s="54"/>
      <c r="H72" s="54"/>
      <c r="I72" s="54"/>
      <c r="J72" s="54"/>
      <c r="K72" s="67"/>
      <c r="L72" s="67"/>
      <c r="M72" s="54"/>
      <c r="N72" s="76">
        <v>7.0000000000000007E-2</v>
      </c>
      <c r="O72" s="76">
        <v>0.25</v>
      </c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76"/>
      <c r="AS72" s="76"/>
      <c r="AT72" s="76">
        <v>0.05</v>
      </c>
      <c r="AU72" s="76"/>
      <c r="AV72" s="67">
        <f t="shared" si="1"/>
        <v>1</v>
      </c>
    </row>
    <row r="73" spans="1:48" ht="12.75">
      <c r="A73" s="66"/>
      <c r="B73" s="66" t="s">
        <v>393</v>
      </c>
      <c r="C73" s="66" t="s">
        <v>415</v>
      </c>
      <c r="D73" s="181"/>
      <c r="E73" s="180"/>
      <c r="F73" s="180"/>
      <c r="G73" s="180"/>
      <c r="H73" s="180"/>
      <c r="I73" s="180"/>
      <c r="J73" s="180"/>
      <c r="K73" s="181">
        <v>0.76</v>
      </c>
      <c r="L73" s="181">
        <v>0.24</v>
      </c>
      <c r="M73" s="180"/>
      <c r="N73" s="182"/>
      <c r="O73" s="182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  <c r="AA73" s="180"/>
      <c r="AB73" s="180"/>
      <c r="AC73" s="180"/>
      <c r="AD73" s="180"/>
      <c r="AE73" s="180"/>
      <c r="AF73" s="180"/>
      <c r="AG73" s="180"/>
      <c r="AH73" s="180"/>
      <c r="AI73" s="180"/>
      <c r="AJ73" s="180"/>
      <c r="AK73" s="180"/>
      <c r="AL73" s="180"/>
      <c r="AM73" s="180"/>
      <c r="AN73" s="180"/>
      <c r="AO73" s="180"/>
      <c r="AP73" s="180"/>
      <c r="AQ73" s="180"/>
      <c r="AR73" s="182"/>
      <c r="AS73" s="182"/>
      <c r="AT73" s="182"/>
      <c r="AU73" s="182"/>
      <c r="AV73" s="67">
        <f t="shared" si="1"/>
        <v>1</v>
      </c>
    </row>
    <row r="74" spans="1:48" ht="12.75">
      <c r="A74" s="54"/>
      <c r="B74" s="66" t="str">
        <f>'Comp 25-26'!A70</f>
        <v>Vacant</v>
      </c>
      <c r="C74" s="66" t="str">
        <f>'Comp 25-26'!C70</f>
        <v>Chief Operating Officer</v>
      </c>
      <c r="D74" s="67"/>
      <c r="E74" s="67">
        <v>0.03</v>
      </c>
      <c r="F74" s="54"/>
      <c r="G74" s="76"/>
      <c r="H74" s="67">
        <v>0.03</v>
      </c>
      <c r="I74" s="54"/>
      <c r="J74" s="76">
        <v>0.1</v>
      </c>
      <c r="K74" s="67"/>
      <c r="L74" s="54"/>
      <c r="M74" s="54"/>
      <c r="N74" s="67">
        <v>0.2</v>
      </c>
      <c r="O74" s="67">
        <v>0.2</v>
      </c>
      <c r="P74" s="67">
        <v>0.02</v>
      </c>
      <c r="Q74" s="54"/>
      <c r="R74" s="54"/>
      <c r="S74" s="67">
        <v>0.1</v>
      </c>
      <c r="T74" s="67">
        <v>0.1</v>
      </c>
      <c r="U74" s="54"/>
      <c r="V74" s="67">
        <v>0.1</v>
      </c>
      <c r="W74" s="76">
        <v>0.08</v>
      </c>
      <c r="X74" s="54"/>
      <c r="Y74" s="54"/>
      <c r="Z74" s="54"/>
      <c r="AA74" s="54"/>
      <c r="AB74" s="67">
        <v>0.01</v>
      </c>
      <c r="AC74" s="54"/>
      <c r="AD74" s="67">
        <v>0.02</v>
      </c>
      <c r="AE74" s="67">
        <v>0.01</v>
      </c>
      <c r="AF74" s="54"/>
      <c r="AG74" s="67"/>
      <c r="AH74" s="67"/>
      <c r="AI74" s="67"/>
      <c r="AJ74" s="67"/>
      <c r="AK74" s="54"/>
      <c r="AL74" s="54"/>
      <c r="AM74" s="54"/>
      <c r="AN74" s="54"/>
      <c r="AO74" s="54"/>
      <c r="AP74" s="54"/>
      <c r="AQ74" s="54"/>
      <c r="AR74" s="67"/>
      <c r="AS74" s="67"/>
      <c r="AT74" s="67"/>
      <c r="AU74" s="67"/>
      <c r="AV74" s="67">
        <f t="shared" si="1"/>
        <v>1</v>
      </c>
    </row>
    <row r="75" spans="1:48" ht="12.75">
      <c r="A75" s="54"/>
      <c r="B75" s="54"/>
      <c r="C75" s="68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</row>
    <row r="76" spans="1:48" ht="12.75">
      <c r="A76" s="54" t="s">
        <v>84</v>
      </c>
      <c r="B76" s="66"/>
      <c r="C76" s="68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67"/>
      <c r="O76" s="67"/>
      <c r="P76" s="67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</row>
    <row r="77" spans="1:48" ht="12.75">
      <c r="A77" s="54" t="s">
        <v>84</v>
      </c>
      <c r="B77" s="66"/>
      <c r="C77" s="68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</row>
    <row r="78" spans="1:48" ht="12.75">
      <c r="A78" s="54"/>
      <c r="B78" s="66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</row>
    <row r="79" spans="1:48" ht="12.75">
      <c r="A79" s="54"/>
      <c r="B79" s="66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</row>
    <row r="80" spans="1:48" ht="12.75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</row>
    <row r="81" spans="1:48" ht="12.75" hidden="1">
      <c r="A81" s="71"/>
      <c r="B81" s="71"/>
      <c r="C81" s="71"/>
      <c r="D81" s="53" t="s">
        <v>720</v>
      </c>
      <c r="E81" s="53" t="s">
        <v>721</v>
      </c>
      <c r="F81" s="53" t="s">
        <v>722</v>
      </c>
      <c r="G81" s="53"/>
      <c r="H81" s="53" t="s">
        <v>723</v>
      </c>
      <c r="I81" s="53" t="s">
        <v>724</v>
      </c>
      <c r="J81" s="53" t="s">
        <v>725</v>
      </c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</row>
    <row r="82" spans="1:48" ht="12.75" hidden="1">
      <c r="A82" s="71"/>
      <c r="B82" s="71"/>
      <c r="C82" s="71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</row>
    <row r="83" spans="1:48" ht="12.75" hidden="1">
      <c r="A83" s="71"/>
      <c r="B83" s="71"/>
      <c r="C83" s="71"/>
      <c r="D83" s="54" t="s">
        <v>726</v>
      </c>
      <c r="E83" s="72">
        <v>45293</v>
      </c>
      <c r="F83" s="72">
        <v>45308</v>
      </c>
      <c r="G83" s="54"/>
      <c r="H83" s="69" t="s">
        <v>727</v>
      </c>
      <c r="I83" s="72">
        <v>45327</v>
      </c>
      <c r="J83" s="72">
        <v>45336</v>
      </c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</row>
    <row r="84" spans="1:48" ht="12.75" hidden="1">
      <c r="A84" s="54"/>
      <c r="B84" s="66"/>
      <c r="C84" s="54"/>
      <c r="D84" s="54" t="s">
        <v>728</v>
      </c>
      <c r="E84" s="72">
        <v>45320</v>
      </c>
      <c r="F84" s="72">
        <v>45336</v>
      </c>
      <c r="G84" s="54"/>
      <c r="H84" s="69" t="s">
        <v>729</v>
      </c>
      <c r="I84" s="72">
        <v>45352</v>
      </c>
      <c r="J84" s="72">
        <v>45364</v>
      </c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</row>
    <row r="85" spans="1:48" ht="12.75" hidden="1">
      <c r="A85" s="54"/>
      <c r="B85" s="66"/>
      <c r="C85" s="54"/>
      <c r="D85" s="54" t="s">
        <v>414</v>
      </c>
      <c r="E85" s="72">
        <v>45320</v>
      </c>
      <c r="F85" s="72">
        <v>45336</v>
      </c>
      <c r="G85" s="54"/>
      <c r="H85" s="69" t="s">
        <v>730</v>
      </c>
      <c r="I85" s="72">
        <v>45359</v>
      </c>
      <c r="J85" s="72">
        <v>45364</v>
      </c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</row>
    <row r="86" spans="1:48" ht="12.75" hidden="1">
      <c r="A86" s="54"/>
      <c r="B86" s="66"/>
      <c r="C86" s="54"/>
      <c r="D86" s="54" t="s">
        <v>731</v>
      </c>
      <c r="E86" s="72">
        <v>45334</v>
      </c>
      <c r="F86" s="72">
        <v>45350</v>
      </c>
      <c r="G86" s="54"/>
      <c r="H86" s="69" t="s">
        <v>732</v>
      </c>
      <c r="I86" s="72">
        <v>45366</v>
      </c>
      <c r="J86" s="72">
        <v>45378</v>
      </c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</row>
    <row r="87" spans="1:48" ht="12.75" hidden="1">
      <c r="A87" s="54"/>
      <c r="B87" s="66"/>
      <c r="C87" s="54"/>
      <c r="D87" s="54" t="s">
        <v>733</v>
      </c>
      <c r="E87" s="72">
        <v>45358</v>
      </c>
      <c r="F87" s="72">
        <v>45364</v>
      </c>
      <c r="G87" s="54"/>
      <c r="H87" s="69" t="s">
        <v>734</v>
      </c>
      <c r="I87" s="72">
        <v>45373</v>
      </c>
      <c r="J87" s="72">
        <v>45378</v>
      </c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</row>
    <row r="88" spans="1:48" ht="12.75" hidden="1">
      <c r="A88" s="54"/>
      <c r="B88" s="66"/>
      <c r="C88" s="54"/>
      <c r="D88" s="54" t="s">
        <v>555</v>
      </c>
      <c r="E88" s="72">
        <v>45362</v>
      </c>
      <c r="F88" s="72">
        <v>45378</v>
      </c>
      <c r="G88" s="54"/>
      <c r="H88" s="69" t="s">
        <v>735</v>
      </c>
      <c r="I88" s="72">
        <v>45380</v>
      </c>
      <c r="J88" s="72">
        <v>45392</v>
      </c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</row>
    <row r="89" spans="1:48" ht="12.75" hidden="1">
      <c r="A89" s="54"/>
      <c r="B89" s="66"/>
      <c r="C89" s="54"/>
      <c r="D89" s="54" t="s">
        <v>736</v>
      </c>
      <c r="E89" s="72">
        <v>45372</v>
      </c>
      <c r="F89" s="72">
        <v>45378</v>
      </c>
      <c r="G89" s="54"/>
      <c r="H89" s="69" t="s">
        <v>737</v>
      </c>
      <c r="I89" s="72">
        <v>45386</v>
      </c>
      <c r="J89" s="72">
        <v>45392</v>
      </c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</row>
    <row r="90" spans="1:48" ht="12.75" hidden="1">
      <c r="A90" s="54"/>
      <c r="B90" s="66"/>
      <c r="C90" s="54"/>
      <c r="D90" s="54" t="s">
        <v>479</v>
      </c>
      <c r="E90" s="72">
        <v>45383</v>
      </c>
      <c r="F90" s="72">
        <v>45392</v>
      </c>
      <c r="G90" s="54"/>
      <c r="H90" s="69" t="s">
        <v>731</v>
      </c>
      <c r="I90" s="72">
        <v>45397</v>
      </c>
      <c r="J90" s="72">
        <v>45406</v>
      </c>
      <c r="K90" s="73" t="s">
        <v>738</v>
      </c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</row>
    <row r="91" spans="1:48" ht="12.75" hidden="1">
      <c r="A91" s="54"/>
      <c r="B91" s="66"/>
      <c r="C91" s="54"/>
      <c r="D91" s="54" t="s">
        <v>541</v>
      </c>
      <c r="E91" s="72">
        <v>45390</v>
      </c>
      <c r="F91" s="72">
        <v>45406</v>
      </c>
      <c r="G91" s="54"/>
      <c r="H91" s="69" t="s">
        <v>739</v>
      </c>
      <c r="I91" s="72">
        <v>45408</v>
      </c>
      <c r="J91" s="72">
        <v>45420</v>
      </c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</row>
    <row r="92" spans="1:48" ht="12.75" hidden="1">
      <c r="A92" s="54"/>
      <c r="B92" s="66"/>
      <c r="C92" s="54"/>
      <c r="D92" s="54" t="s">
        <v>740</v>
      </c>
      <c r="E92" s="72">
        <v>45397</v>
      </c>
      <c r="F92" s="72">
        <v>45406</v>
      </c>
      <c r="G92" s="54"/>
      <c r="H92" s="69" t="s">
        <v>741</v>
      </c>
      <c r="I92" s="72">
        <v>45427</v>
      </c>
      <c r="J92" s="72">
        <v>45434</v>
      </c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</row>
    <row r="93" spans="1:48" ht="12.75" hidden="1">
      <c r="A93" s="54"/>
      <c r="B93" s="66"/>
      <c r="C93" s="54"/>
      <c r="D93" s="54" t="s">
        <v>742</v>
      </c>
      <c r="E93" s="72">
        <v>45398</v>
      </c>
      <c r="F93" s="72">
        <v>45406</v>
      </c>
      <c r="G93" s="54"/>
      <c r="H93" s="54" t="s">
        <v>743</v>
      </c>
      <c r="I93" s="72">
        <v>45499</v>
      </c>
      <c r="J93" s="72">
        <v>45504</v>
      </c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</row>
    <row r="94" spans="1:48" ht="12.75" hidden="1">
      <c r="A94" s="54"/>
      <c r="B94" s="66"/>
      <c r="C94" s="54"/>
      <c r="D94" s="54" t="s">
        <v>744</v>
      </c>
      <c r="E94" s="72">
        <v>45411</v>
      </c>
      <c r="F94" s="72">
        <v>45420</v>
      </c>
      <c r="G94" s="54"/>
      <c r="H94" s="54" t="s">
        <v>745</v>
      </c>
      <c r="I94" s="72">
        <v>45499</v>
      </c>
      <c r="J94" s="72">
        <v>45504</v>
      </c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</row>
    <row r="95" spans="1:48" ht="12.75" hidden="1">
      <c r="A95" s="54"/>
      <c r="B95" s="66"/>
      <c r="C95" s="54"/>
      <c r="D95" s="54" t="s">
        <v>746</v>
      </c>
      <c r="E95" s="72">
        <v>45440</v>
      </c>
      <c r="F95" s="72">
        <v>45448</v>
      </c>
      <c r="G95" s="54"/>
      <c r="H95" s="54" t="s">
        <v>746</v>
      </c>
      <c r="I95" s="72">
        <v>45548</v>
      </c>
      <c r="J95" s="72">
        <v>45560</v>
      </c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</row>
    <row r="96" spans="1:48" ht="12.75" hidden="1">
      <c r="A96" s="54"/>
      <c r="B96" s="66"/>
      <c r="C96" s="54"/>
      <c r="D96" s="54" t="s">
        <v>747</v>
      </c>
      <c r="E96" s="72">
        <v>45440</v>
      </c>
      <c r="F96" s="72">
        <v>45448</v>
      </c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</row>
    <row r="97" spans="1:48" ht="12.75" hidden="1">
      <c r="A97" s="54"/>
      <c r="B97" s="66"/>
      <c r="C97" s="54"/>
      <c r="D97" s="54" t="s">
        <v>748</v>
      </c>
      <c r="E97" s="72">
        <v>45467</v>
      </c>
      <c r="F97" s="72">
        <v>45476</v>
      </c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</row>
    <row r="98" spans="1:48" ht="12.75">
      <c r="A98" s="54"/>
      <c r="B98" s="66"/>
      <c r="C98" s="54"/>
      <c r="D98" s="73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</row>
    <row r="99" spans="1:48" ht="12.75">
      <c r="A99" s="54"/>
      <c r="B99" s="66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</row>
    <row r="100" spans="1:48" ht="12.75">
      <c r="A100" s="54"/>
      <c r="B100" s="66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</row>
    <row r="101" spans="1:48" ht="12.75">
      <c r="A101" s="54"/>
      <c r="B101" s="66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</row>
    <row r="102" spans="1:48" ht="12.75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</row>
    <row r="103" spans="1:48" ht="12.75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</row>
    <row r="104" spans="1:48" ht="12.75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</row>
    <row r="105" spans="1:48" ht="12.7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</row>
    <row r="106" spans="1:48" ht="12.75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</row>
    <row r="107" spans="1:48" ht="12.75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</row>
    <row r="108" spans="1:48" ht="12.7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</row>
    <row r="109" spans="1:48" ht="12.7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</row>
    <row r="110" spans="1:48" ht="12.75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</row>
    <row r="111" spans="1:48" ht="12.75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</row>
    <row r="112" spans="1:48" ht="12.75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</row>
    <row r="113" spans="1:48" ht="12.75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</row>
    <row r="114" spans="1:48" ht="12.75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</row>
    <row r="115" spans="1:48" ht="12.7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</row>
    <row r="116" spans="1:48" ht="12.75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</row>
    <row r="117" spans="1:48" ht="12.75">
      <c r="A117" s="54"/>
      <c r="B117" s="53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</row>
    <row r="118" spans="1:48" ht="12.7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</row>
    <row r="119" spans="1:48" ht="12.7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</row>
    <row r="120" spans="1:48" ht="12.7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</row>
    <row r="121" spans="1:48" ht="12.7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</row>
    <row r="122" spans="1:48" ht="12.75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</row>
    <row r="123" spans="1:48" ht="12.75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</row>
    <row r="124" spans="1:48" ht="12.75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</row>
  </sheetData>
  <mergeCells count="2">
    <mergeCell ref="D3:J3"/>
    <mergeCell ref="U3:Y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58B2AA3C8014DBABF132628032717" ma:contentTypeVersion="3" ma:contentTypeDescription="Create a new document." ma:contentTypeScope="" ma:versionID="0d338d56b6eb0537c8147b48e0ddbe6c">
  <xsd:schema xmlns:xsd="http://www.w3.org/2001/XMLSchema" xmlns:xs="http://www.w3.org/2001/XMLSchema" xmlns:p="http://schemas.microsoft.com/office/2006/metadata/properties" xmlns:ns2="500c6a7e-4fc4-4cf9-9e9b-75222322b87b" targetNamespace="http://schemas.microsoft.com/office/2006/metadata/properties" ma:root="true" ma:fieldsID="53f09b9c6c820784ae5830ec4ef9825b" ns2:_="">
    <xsd:import namespace="500c6a7e-4fc4-4cf9-9e9b-75222322b8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0c6a7e-4fc4-4cf9-9e9b-75222322b8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859B71-A960-4B60-A06F-0A58651EF5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D66DDE-D579-4152-B652-25D7DE9F4D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BF8478-5827-412E-95B4-C928F92BEB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0c6a7e-4fc4-4cf9-9e9b-75222322b8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June 2024 YTD</vt:lpstr>
      <vt:lpstr>June 2025 YTD</vt:lpstr>
      <vt:lpstr>4% and Health Insur Decreases</vt:lpstr>
      <vt:lpstr>2026 12-month Proj.</vt:lpstr>
      <vt:lpstr>2026 Area Agency Budget</vt:lpstr>
      <vt:lpstr>Comp 25-26</vt:lpstr>
      <vt:lpstr>2026 Agency Budget</vt:lpstr>
      <vt:lpstr>2026 Labor Alloc $$</vt:lpstr>
      <vt:lpstr>2026 Labor Alloc %</vt:lpstr>
      <vt:lpstr>Cell PhoneTraining </vt:lpstr>
      <vt:lpstr>51320 Small Equip-Software</vt:lpstr>
      <vt:lpstr>Legend Area Plan Module</vt:lpstr>
    </vt:vector>
  </TitlesOfParts>
  <Manager/>
  <Company>NetSuite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 Reports</dc:creator>
  <cp:keywords/>
  <dc:description/>
  <cp:lastModifiedBy>Kristina Jalazo</cp:lastModifiedBy>
  <cp:revision/>
  <cp:lastPrinted>2025-10-28T12:19:03Z</cp:lastPrinted>
  <dcterms:created xsi:type="dcterms:W3CDTF">2024-07-19T15:37:31Z</dcterms:created>
  <dcterms:modified xsi:type="dcterms:W3CDTF">2025-11-10T14:22:36Z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0x01010005E58B2AA3C8014DBABF132628032717</vt:lpwstr>
  </property>
  <property fmtid="{D5CDD505-2E9C-101B-9397-08002B2CF9AE}" pid="3" name="MediaServiceImageTags">
    <vt:lpwstr/>
  </property>
</Properties>
</file>